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ucoasbl.sharepoint.com/sites/BoardOfDirectors/Shared Documents/General/2026/CA-RVB 2026/20260530/"/>
    </mc:Choice>
  </mc:AlternateContent>
  <xr:revisionPtr revIDLastSave="45" documentId="8_{9CBF85C2-CCB1-4A70-A6EA-FC187E6A5F69}" xr6:coauthVersionLast="47" xr6:coauthVersionMax="47" xr10:uidLastSave="{B6418563-1336-49C3-A63E-077890CD230C}"/>
  <bookViews>
    <workbookView xWindow="28680" yWindow="-120" windowWidth="29040" windowHeight="15720" xr2:uid="{00000000-000D-0000-FFFF-FFFF00000000}"/>
  </bookViews>
  <sheets>
    <sheet name="Comptes 31-12-2025&amp;Budget 2026" sheetId="6" r:id="rId1"/>
    <sheet name="Graphiques 2025" sheetId="7" r:id="rId2"/>
    <sheet name="KPIs" sheetId="8" r:id="rId3"/>
    <sheet name="KPI NL"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3" i="7" l="1"/>
  <c r="F27" i="8"/>
  <c r="M8" i="6"/>
  <c r="L8" i="6"/>
  <c r="L14" i="6" l="1"/>
  <c r="M14" i="6"/>
  <c r="L18" i="6"/>
  <c r="M18" i="6"/>
  <c r="L30" i="6"/>
  <c r="M30" i="6"/>
  <c r="L46" i="6"/>
  <c r="M46" i="6"/>
  <c r="L56" i="6"/>
  <c r="M56" i="6"/>
  <c r="L60" i="6"/>
  <c r="M60" i="6"/>
  <c r="L68" i="6"/>
  <c r="M68" i="6"/>
  <c r="M70" i="6" l="1"/>
  <c r="M47" i="6"/>
  <c r="M69" i="6" s="1"/>
  <c r="L47" i="6"/>
  <c r="L69" i="6" s="1"/>
  <c r="L70" i="6"/>
  <c r="M71" i="6" l="1"/>
  <c r="L71" i="6"/>
  <c r="K8" i="6" l="1"/>
  <c r="G67" i="6" l="1"/>
  <c r="I67" i="6"/>
  <c r="I62" i="6"/>
  <c r="I63" i="6"/>
  <c r="I64" i="6"/>
  <c r="I65" i="6"/>
  <c r="I66" i="6"/>
  <c r="I61" i="6"/>
  <c r="I58" i="6"/>
  <c r="I59" i="6"/>
  <c r="I57" i="6"/>
  <c r="I49" i="6"/>
  <c r="I50" i="6"/>
  <c r="I51" i="6"/>
  <c r="I52" i="6"/>
  <c r="I53" i="6"/>
  <c r="I54" i="6"/>
  <c r="I55" i="6"/>
  <c r="I48" i="6"/>
  <c r="I34" i="6"/>
  <c r="I35" i="6"/>
  <c r="I36" i="6"/>
  <c r="I37" i="6"/>
  <c r="I38" i="6"/>
  <c r="I39" i="6"/>
  <c r="I40" i="6"/>
  <c r="I41" i="6"/>
  <c r="I42" i="6"/>
  <c r="I43" i="6"/>
  <c r="I44" i="6"/>
  <c r="I33" i="6"/>
  <c r="I20" i="6"/>
  <c r="I21" i="6"/>
  <c r="I22" i="6"/>
  <c r="I23" i="6"/>
  <c r="I24" i="6"/>
  <c r="I25" i="6"/>
  <c r="I26" i="6"/>
  <c r="I27" i="6"/>
  <c r="I28" i="6"/>
  <c r="I19" i="6"/>
  <c r="I4" i="6"/>
  <c r="I5" i="6"/>
  <c r="I6" i="6"/>
  <c r="I7" i="6"/>
  <c r="I9" i="6"/>
  <c r="I10" i="6"/>
  <c r="I11" i="6"/>
  <c r="I12" i="6"/>
  <c r="I13" i="6"/>
  <c r="I3" i="6"/>
  <c r="G63" i="6"/>
  <c r="H16" i="6"/>
  <c r="I16" i="6" s="1"/>
  <c r="H17" i="6"/>
  <c r="I17" i="6" s="1"/>
  <c r="H15" i="6"/>
  <c r="I15" i="6" s="1"/>
  <c r="H29" i="6"/>
  <c r="I29" i="6" s="1"/>
  <c r="H8" i="6" l="1"/>
  <c r="D30" i="6"/>
  <c r="G30" i="6"/>
  <c r="H30" i="6"/>
  <c r="J30" i="6"/>
  <c r="K30" i="6"/>
  <c r="K68" i="6"/>
  <c r="J68" i="6"/>
  <c r="H68" i="6"/>
  <c r="G68" i="6"/>
  <c r="D68" i="6"/>
  <c r="C68" i="6"/>
  <c r="B68" i="6"/>
  <c r="K60" i="6"/>
  <c r="J60" i="6"/>
  <c r="H60" i="6"/>
  <c r="G60" i="6"/>
  <c r="D60" i="6"/>
  <c r="C60" i="6"/>
  <c r="B60" i="6"/>
  <c r="K56" i="6"/>
  <c r="J56" i="6"/>
  <c r="H56" i="6"/>
  <c r="G56" i="6"/>
  <c r="D56" i="6"/>
  <c r="C56" i="6"/>
  <c r="B56" i="6"/>
  <c r="K46" i="6"/>
  <c r="J46" i="6"/>
  <c r="H46" i="6"/>
  <c r="I46" i="6" s="1"/>
  <c r="G46" i="6"/>
  <c r="D46" i="6"/>
  <c r="C46" i="6"/>
  <c r="B46" i="6"/>
  <c r="C20" i="6"/>
  <c r="C30" i="6" s="1"/>
  <c r="B20" i="6"/>
  <c r="B30" i="6" s="1"/>
  <c r="K18" i="6"/>
  <c r="J18" i="6"/>
  <c r="H18" i="6"/>
  <c r="G18" i="6"/>
  <c r="D18" i="6"/>
  <c r="C18" i="6"/>
  <c r="B18" i="6"/>
  <c r="D14" i="6"/>
  <c r="B14" i="6"/>
  <c r="C10" i="6"/>
  <c r="K14" i="6"/>
  <c r="J8" i="6"/>
  <c r="J14" i="6" s="1"/>
  <c r="G8" i="6"/>
  <c r="G14" i="6" s="1"/>
  <c r="C7" i="6"/>
  <c r="C14" i="6" l="1"/>
  <c r="I68" i="6"/>
  <c r="I60" i="6"/>
  <c r="I18" i="6"/>
  <c r="I56" i="6"/>
  <c r="H14" i="6"/>
  <c r="H47" i="6" s="1"/>
  <c r="I8" i="6"/>
  <c r="I30" i="6"/>
  <c r="D70" i="6"/>
  <c r="G70" i="6"/>
  <c r="C47" i="6"/>
  <c r="C69" i="6" s="1"/>
  <c r="C70" i="6"/>
  <c r="K70" i="6"/>
  <c r="K47" i="6"/>
  <c r="K69" i="6" s="1"/>
  <c r="K71" i="6" s="1"/>
  <c r="B70" i="6"/>
  <c r="J47" i="6"/>
  <c r="J69" i="6" s="1"/>
  <c r="H70" i="6"/>
  <c r="D47" i="6"/>
  <c r="D69" i="6" s="1"/>
  <c r="J70" i="6"/>
  <c r="B47" i="6"/>
  <c r="B69" i="6" s="1"/>
  <c r="G47" i="6"/>
  <c r="G69" i="6" s="1"/>
  <c r="I70" i="6" l="1"/>
  <c r="G71" i="6"/>
  <c r="I14" i="6"/>
  <c r="H69" i="6"/>
  <c r="I47" i="6"/>
  <c r="D71" i="6"/>
  <c r="C71" i="6"/>
  <c r="B71" i="6"/>
  <c r="J71" i="6"/>
  <c r="I69" i="6" l="1"/>
  <c r="H71" i="6"/>
  <c r="I7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tc={4B257F7C-3ACA-401E-A6CF-03EB7D946D0E}</author>
    <author>tc={F52A2D24-5A01-482E-A33C-FE8E3287BBDA}</author>
    <author>tc={D02C39A4-CC69-4710-B317-67D15BC142C8}</author>
    <author>tc={927FC5FC-3BBE-485C-A067-4CF1CFE101CF}</author>
  </authors>
  <commentList>
    <comment ref="E4" authorId="0" shapeId="0" xr:uid="{4B257F7C-3ACA-401E-A6CF-03EB7D946D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277.201</t>
      </text>
    </comment>
    <comment ref="E12" authorId="1" shapeId="0" xr:uid="{F52A2D24-5A01-482E-A33C-FE8E3287BBD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185009</t>
      </text>
    </comment>
    <comment ref="E17" authorId="2" shapeId="0" xr:uid="{D02C39A4-CC69-4710-B317-67D15BC142C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17624</t>
      </text>
    </comment>
    <comment ref="F17" authorId="3" shapeId="0" xr:uid="{927FC5FC-3BBE-485C-A067-4CF1CFE101C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16279</t>
      </text>
    </comment>
  </commentList>
</comments>
</file>

<file path=xl/sharedStrings.xml><?xml version="1.0" encoding="utf-8"?>
<sst xmlns="http://schemas.openxmlformats.org/spreadsheetml/2006/main" count="296" uniqueCount="243">
  <si>
    <t>Soutien financier aux familles/Général</t>
  </si>
  <si>
    <t>Soutien social</t>
  </si>
  <si>
    <t>Frais pour la Transplantation</t>
  </si>
  <si>
    <t>Frais thérapeutiques</t>
  </si>
  <si>
    <t>Soins et accompagnement patients et familles</t>
  </si>
  <si>
    <t>Défense des intérêts</t>
  </si>
  <si>
    <t>Campagne politique</t>
  </si>
  <si>
    <t>Info aux familles et éducation</t>
  </si>
  <si>
    <t xml:space="preserve">Achat nourriture et matériel médical </t>
  </si>
  <si>
    <t xml:space="preserve">Personnel/famille  </t>
  </si>
  <si>
    <t>Total soutien familles</t>
  </si>
  <si>
    <t>Recherche scientifique</t>
  </si>
  <si>
    <t>Formation scientifique</t>
  </si>
  <si>
    <t>CF europe&amp;Collaboration internationale</t>
  </si>
  <si>
    <t>Total sciences</t>
  </si>
  <si>
    <t>Communication &amp; Sensibilisation</t>
  </si>
  <si>
    <t>Externe mailing(Recolte de fonds )</t>
  </si>
  <si>
    <t>Interne  mailing(Recolte de fonds )</t>
  </si>
  <si>
    <t>Legs</t>
  </si>
  <si>
    <t>Sponsoring des entreprises</t>
  </si>
  <si>
    <t>Actions</t>
  </si>
  <si>
    <t>Actions de vente</t>
  </si>
  <si>
    <t>Evénements</t>
  </si>
  <si>
    <t>Participation aux réseaux</t>
  </si>
  <si>
    <t>Innovation</t>
  </si>
  <si>
    <t>Personnel du service Communication</t>
  </si>
  <si>
    <t>Total communication</t>
  </si>
  <si>
    <t xml:space="preserve">Reprise de la provision </t>
  </si>
  <si>
    <t xml:space="preserve">Provision pour risques et charges </t>
  </si>
  <si>
    <t>Espace de travail</t>
  </si>
  <si>
    <t xml:space="preserve">Frais de fonctionnement  </t>
  </si>
  <si>
    <t>Fournitures de bureau</t>
  </si>
  <si>
    <t>Poste et Téléphone</t>
  </si>
  <si>
    <t>Informatique et gestion des fichiers</t>
  </si>
  <si>
    <t>Frais administratifs</t>
  </si>
  <si>
    <t>Personnel  administratif</t>
  </si>
  <si>
    <t>Amortissements</t>
  </si>
  <si>
    <t xml:space="preserve">Charges financières </t>
  </si>
  <si>
    <t xml:space="preserve">Frais de personnel divers </t>
  </si>
  <si>
    <t xml:space="preserve">Charges exceptionnelles </t>
  </si>
  <si>
    <t>Moins values financières</t>
  </si>
  <si>
    <t>Total frais generaux</t>
  </si>
  <si>
    <t>Total dépenses</t>
  </si>
  <si>
    <t xml:space="preserve">Récolte de fonds </t>
  </si>
  <si>
    <t>Dons Mailings externes</t>
  </si>
  <si>
    <t>Dons individuel via les actions</t>
  </si>
  <si>
    <t>Dons individuel via les événements</t>
  </si>
  <si>
    <t>Service clubs</t>
  </si>
  <si>
    <t>Fonds</t>
  </si>
  <si>
    <t>Total dons</t>
  </si>
  <si>
    <t>Actions régionales</t>
  </si>
  <si>
    <t>Total actions</t>
  </si>
  <si>
    <t>Subsides</t>
  </si>
  <si>
    <t>Contributions aux chèques repas</t>
  </si>
  <si>
    <t>Recettes financières</t>
  </si>
  <si>
    <t>Remboursement nutrition, mat.méd, soins….</t>
  </si>
  <si>
    <t>Projets d'emploi</t>
  </si>
  <si>
    <t>Prélèvement de la réserve/Pour les projets de recherche…</t>
  </si>
  <si>
    <t>Produits exceptionnels</t>
  </si>
  <si>
    <t>Total autres</t>
  </si>
  <si>
    <t>Total recettes</t>
  </si>
  <si>
    <t>Résultat</t>
  </si>
  <si>
    <t/>
  </si>
  <si>
    <t>Budget 2025</t>
  </si>
  <si>
    <t>Budget 2026</t>
  </si>
  <si>
    <t>Projets(Néonatale screening, Projet coûts, Politique des soins )</t>
  </si>
  <si>
    <t xml:space="preserve">Taxes </t>
  </si>
  <si>
    <t>MUCO COMPTES DECEMBRE /DECEMBER 2025&amp;BUDGET 2026</t>
  </si>
  <si>
    <t>EVOLUTION DES DONNEES 2019-2025</t>
  </si>
  <si>
    <t xml:space="preserve">Etat du Budget </t>
  </si>
  <si>
    <t>Budget 2027</t>
  </si>
  <si>
    <t>Budget 2028</t>
  </si>
  <si>
    <t xml:space="preserve">Les KPI  de la Muco Asbl-2025 </t>
  </si>
  <si>
    <t>Tableau n°1 : récapitulatif des KPI  sur la période de quatre ans, 2024-2021</t>
  </si>
  <si>
    <t xml:space="preserve"> Explications  de la  BNB  </t>
  </si>
  <si>
    <t xml:space="preserve">Conditions d'exploitattion </t>
  </si>
  <si>
    <t>Normes générales</t>
  </si>
  <si>
    <t>Moyenne  Sectoriellespondérée</t>
  </si>
  <si>
    <t>1. Marge brute sur produits d'exploitation (en %)</t>
  </si>
  <si>
    <t xml:space="preserve">Positif </t>
  </si>
  <si>
    <t xml:space="preserve">Ce ratio permet de s'assurer de l'efficacité opérationnelle de l'association, de vérifier si celle-ci est en équilibre financier dans ses activités purement opérationnelles, avant prise en compte des résultats financiers et des éléments exceptionnels. MARGE Brute =resultat brut(resultat obtenu  avant de prendre en  compte  les charges non décaissables) rapporté  aux prosuits d'exploitation </t>
  </si>
  <si>
    <t>2. Résultat courant sur produits courants (en %)</t>
  </si>
  <si>
    <t xml:space="preserve">positif </t>
  </si>
  <si>
    <t>Ce ratio permet de s'assurer qu'au terme de la prise en considération des charges et produits financiers, l'association est toujours en équilibre financier.</t>
  </si>
  <si>
    <t xml:space="preserve">3.Valeur ajoutée </t>
  </si>
  <si>
    <t>La valeur ajoutée représente le supplément de valeur que, grâce à la mise en oeuvre des facteurs de production, l'association ajoute au montant des éventuels biens et services qu'elle a consommés</t>
  </si>
  <si>
    <t>4. Taux de valeur ajoutée (en %)</t>
  </si>
  <si>
    <t>le taux de la valeur ajoutée permet de mesurer en % la part de celle-ci dans les produits d'exploitations.</t>
  </si>
  <si>
    <t xml:space="preserve">Rentabilité </t>
  </si>
  <si>
    <t>5.Rentabilité brute de l'ensemble des produits (en %)</t>
  </si>
  <si>
    <t>&gt;0</t>
  </si>
  <si>
    <t>L'objectif de l'association ne sera pas de maximiser la valeur de ce ratio mais plutôt de s'assurer d'atteindre l'équilibre financier. Un ratio nul signifiera que l'association a disposé de suffisamment de moyens pour pouvoir financer ses activités, qu'ils proviennent des destinataires des biens et services prestés par l'association ou de pouvoirs ou agents subsidiants. Un ratio positif peut éventuellement permettre à une association d'envisager une extension de ses activités.</t>
  </si>
  <si>
    <t>6. Rentabilité nette de l'actif total avant charges financières (en %)</t>
  </si>
  <si>
    <t>La rentabilité de l'actif total mesure la rentabilité de l'ensemble des moyens investis dans l'association</t>
  </si>
  <si>
    <t xml:space="preserve">8. Cash flow =Produits encaissables -charges décaissables </t>
  </si>
  <si>
    <t>Le cash-flow mesure le potentiel brut d'autofinancement de l'association, c'est-à-dire sa capacité à engendrer des liquidités pour assurer la poursuite de ses activités. =Bénéfice de l'exercice+Dot. Amort. Prov.pr risques et charges, Reductions de Valeurs, Moins values sur Immo. bref Bénéf de l'ex. +charges non décaissables-les produits non encaissables.</t>
  </si>
  <si>
    <t>Spécificité du secteur non-marchand:</t>
  </si>
  <si>
    <t>9. Part des cotisations, dons, legs et subsides dans le total des produits d'exploitation (en %)</t>
  </si>
  <si>
    <t>Ces ratios spécifiques au secteur non marchand permettent de déterminer dans quelle mesure les activités d'une association sont dépendantes de cette source particulière de revenus d'exploitation.</t>
  </si>
  <si>
    <t>Structure financière</t>
  </si>
  <si>
    <t>10. Liquidité au sens large (Current ratio)</t>
  </si>
  <si>
    <t>&gt;1</t>
  </si>
  <si>
    <t>Les ratios de liquidité sont un indicateur de la capacité des associations d'honorer leurs engagements à court terme au moyen de leurs actifs disponibles et aisément réalisables</t>
  </si>
  <si>
    <t>11. Liquidité au sens strict (Quick ratio)</t>
  </si>
  <si>
    <t>Lorsque la liquidité au sens strict est égal ou supérieur à 1, cela signifie que l'association dispose de suffisamment d'actifs à court terme susceptibles d'être mobilisés pour faire face à ses échéances. Plus le ratio est élevé, plus la marge de sécurité des actifs circulants par rapport aux engagements à court terme sera élevée</t>
  </si>
  <si>
    <t>12. Solvabilité (en %)</t>
  </si>
  <si>
    <t>&gt;30</t>
  </si>
  <si>
    <t>Ce ratio  permet d'apprécier l'indépendance financière de l'ASBL</t>
  </si>
  <si>
    <t>13. Fonds de roulement (FR)</t>
  </si>
  <si>
    <t>FR&gt;0  permet de s'assurer  de l'équilibre de la structure du bilan de l'asbl</t>
  </si>
  <si>
    <t>14. Besoin en Fonds de roulement BFR</t>
  </si>
  <si>
    <r>
      <rPr>
        <sz val="11"/>
        <color theme="1"/>
        <rFont val="Calibri"/>
        <family val="2"/>
      </rPr>
      <t>≤</t>
    </r>
    <r>
      <rPr>
        <sz val="11"/>
        <color indexed="8"/>
        <rFont val="Calibri"/>
        <family val="2"/>
        <scheme val="minor"/>
      </rPr>
      <t>0</t>
    </r>
  </si>
  <si>
    <t xml:space="preserve">Permet d'évaluer le besoin de fonds sécrété par  l'activité de l'Asbl </t>
  </si>
  <si>
    <t>14b Trésorerie =FR-BFR ou AF-DF</t>
  </si>
  <si>
    <t>15. Nombre de jours de crédit débiteurs</t>
  </si>
  <si>
    <t xml:space="preserve">délai court </t>
  </si>
  <si>
    <t>Indique le nombre de jour nécessaire que les clients mettent pour honorer les créances</t>
  </si>
  <si>
    <t>16. Nombre de jours de crédit fournisseurs</t>
  </si>
  <si>
    <t>délai plus long</t>
  </si>
  <si>
    <t>indique le nombre de jour de crédit fournisseurs</t>
  </si>
  <si>
    <t>Investissement</t>
  </si>
  <si>
    <t>17. Taux d'amortissement des immobilisations corporelles et incorporelles (en %)</t>
  </si>
  <si>
    <t>Ce ratio est un indicateur de vétusté des immobilisations à la disposition de l'association.</t>
  </si>
  <si>
    <t>Breuve interprétation des résultats des  KPI</t>
  </si>
  <si>
    <t>Les indicateurs des conditions d'exploitation montrent une tendance de retour vers l'équilibre; comparé aux deux dernières années (2023-2024). La marge brute sur produit d'exploitation passe de -23% (2024) à -8%( 2025).</t>
  </si>
  <si>
    <t xml:space="preserve"> Le  résultat courant sur produits courants positif de 8%  soutien  cette tendance d'amélioration, comme l'indique les chiffres sur le tableau ci-dessus. </t>
  </si>
  <si>
    <t xml:space="preserve">La valeur ajoutée est de l'ordre de 31% pour l'exercice 2025. Sa tendance est relativement à la hausse, comparée à celle de 2024, où elle éatait de 23%. </t>
  </si>
  <si>
    <t>Les ratios de rentabilité  brute de l'ensemble des produits et de Rentabilité nette de l'actif total avant charges financières sont positifs, respectivement  7% et 6%  en 2025.</t>
  </si>
  <si>
    <r>
      <t>Le cash-flow est  positif de l'ordre de 346197,61</t>
    </r>
    <r>
      <rPr>
        <sz val="11"/>
        <color theme="1"/>
        <rFont val="Aptos Narrow"/>
        <family val="2"/>
      </rPr>
      <t>€</t>
    </r>
    <r>
      <rPr>
        <sz val="11"/>
        <color theme="1"/>
        <rFont val="Calibri"/>
        <family val="2"/>
      </rPr>
      <t xml:space="preserve"> pour l'année 2025, résultat de la cession, en partie du portefeuille et  des Legs.</t>
    </r>
  </si>
  <si>
    <t>La part des legs , dons, subside dans nos recettes a été de 84% en 2025. Pourcentage  relativement stable sur les cinq dernières années.</t>
  </si>
  <si>
    <t xml:space="preserve">La strucure financière de l'association  est  équilibrée en 2025. </t>
  </si>
  <si>
    <t xml:space="preserve"> Notre niveau de liquidité et de solvabilité est au-dessus des normes du secteur associatif et permet de couvrir nos engagements.</t>
  </si>
  <si>
    <r>
      <t xml:space="preserve">la Trésorerie de l'association est positive de l'ordre  de 3 789162,13 </t>
    </r>
    <r>
      <rPr>
        <sz val="11"/>
        <color theme="1"/>
        <rFont val="Aptos Narrow"/>
        <family val="2"/>
      </rPr>
      <t>€</t>
    </r>
    <r>
      <rPr>
        <sz val="11"/>
        <color theme="1"/>
        <rFont val="Calibri"/>
        <family val="2"/>
      </rPr>
      <t xml:space="preserve"> pour l</t>
    </r>
    <r>
      <rPr>
        <sz val="11"/>
        <color indexed="8"/>
        <rFont val="Calibri"/>
        <family val="2"/>
        <scheme val="minor"/>
      </rPr>
      <t>'année 2025.</t>
    </r>
  </si>
  <si>
    <t xml:space="preserve">Le délai  de payement fournisseurs  est plus long, 134 jours et celui de payement clients plus court , 53 jours, pour l'exercice 2025. </t>
  </si>
  <si>
    <t xml:space="preserve">L’usure de nos immobilisations corporelles et incorporelles est évalué à 21%  au terme de  l’exercice comptable  2025. L'amélioration de ce ratio est dû à l'mmobilisation des charges relatives à l'ERP Mercator. </t>
  </si>
  <si>
    <t xml:space="preserve">charges relative à l'ERP Mercator. </t>
  </si>
  <si>
    <t>En conclusion, les indicateurs des conditions d’exploitations montre une contraction de notre activité sur les cinq dernières anneés avec  une tendance de retour vers l'équilibre en 2025.</t>
  </si>
  <si>
    <r>
      <t>L’exercice  2025 s'est clôturé   par un bénéfice de 281110,39</t>
    </r>
    <r>
      <rPr>
        <sz val="11"/>
        <color theme="1"/>
        <rFont val="Aptos Narrow"/>
        <family val="2"/>
      </rPr>
      <t xml:space="preserve">€ </t>
    </r>
    <r>
      <rPr>
        <sz val="11"/>
        <color indexed="8"/>
        <rFont val="Calibri"/>
        <family val="2"/>
        <scheme val="minor"/>
      </rPr>
      <t xml:space="preserve"> est un bon signe,  bien qu' absorbé par les pertes antérieures, permet d'affirmer la dynamique d'amélioration. </t>
    </r>
  </si>
  <si>
    <t xml:space="preserve"> La structure financière de la Muco reste saine sur la période, 2024-2025, comme l’indique les ratios de structure du bilan. </t>
  </si>
  <si>
    <t>Exploitatiecondities</t>
  </si>
  <si>
    <t>Algemene normen</t>
  </si>
  <si>
    <t>Gewogen sectorgemiddelde voor 2019</t>
  </si>
  <si>
    <t>1. Brutomarge op bedrijfsopbrengsten (%)</t>
  </si>
  <si>
    <t>2. Resultaat uit de gewone bedrijfsuitoefening (%)</t>
  </si>
  <si>
    <t>3. Toegevoegde waarde</t>
  </si>
  <si>
    <t>4.Toegevoegde waarde op bedrijfsopbrengsten (%)</t>
  </si>
  <si>
    <t>Rendabiliteit</t>
  </si>
  <si>
    <t>5.Brutorendabiliteit van de totale opbrengsten (%)</t>
  </si>
  <si>
    <t>6. Nettorendabiliteit van het totaal der activa vóór financiële kosten (%)</t>
  </si>
  <si>
    <r>
      <t>8. Cashflow  (</t>
    </r>
    <r>
      <rPr>
        <sz val="11"/>
        <color theme="1"/>
        <rFont val="Calibri"/>
        <family val="2"/>
      </rPr>
      <t>€</t>
    </r>
    <r>
      <rPr>
        <sz val="11"/>
        <color theme="1"/>
        <rFont val="Calibri"/>
        <family val="2"/>
        <charset val="1"/>
      </rPr>
      <t>)</t>
    </r>
  </si>
  <si>
    <t>Bijzondere ratio's voor de non-profitsector</t>
  </si>
  <si>
    <t>9.Aandeel van de lidgelden, schenkingen, legaten en subsidies in het totaal der bedrijfsopbrengsten (%):</t>
  </si>
  <si>
    <t>Financiële structuur</t>
  </si>
  <si>
    <t>10.Liquiditeit in ruime zin (Current ratio)</t>
  </si>
  <si>
    <t>11. Liquiditeit in enge zin (Quick ratio)</t>
  </si>
  <si>
    <t>12. Solvabiliteit (%)</t>
  </si>
  <si>
    <t>13. werkkapitaal</t>
  </si>
  <si>
    <t>14. Werkkapitaal nodig</t>
  </si>
  <si>
    <t>14b Contant geld</t>
  </si>
  <si>
    <t>15. . Aantal dagen debiteurenkrediet</t>
  </si>
  <si>
    <t>16. Aantal dagen leverancierskrediet</t>
  </si>
  <si>
    <t>17. Afschrijvingsgraad van de immateriële en materiële vaste activa (en %)</t>
  </si>
  <si>
    <t>Korte interpretatie van de KPI resultaten</t>
  </si>
  <si>
    <t>De indicatoren van de exploitatievoorwaarden tonen een tendens tot herstel van het evenwicht in vergelijking met de twee voorgaande boekjaren (2023-2024).</t>
  </si>
  <si>
    <t>De brutomarge op de bedrijfsopbrengsten evolueert van -23% in 2024 naar -8% in 2025.</t>
  </si>
  <si>
    <t>Het courante resultaat op de courante opbrengsten bedraagt een positieve 8% en ondersteunt deze verbeterende tendens, zoals blijkt uit de cijfers in bovenstaande tabel.</t>
  </si>
  <si>
    <t>De toegevoegde waarde bedraagt ongeveer 31% voor het boekjaar 2025. Deze indicator vertoont een stijgende trend ten opzichte van 2024, toen deze 23% bedroeg.</t>
  </si>
  <si>
    <t>De ratio’s inzake bruto rendabiliteit van de totale opbrengsten en netto rendabiliteit van het totaal actief vóór financiële kosten zijn positief en bedragen respectievelijk 7% en 6% in 2025.</t>
  </si>
  <si>
    <t>De cashflow is positief en bedraagt € 346.197,61 voor het jaar 2025, voornamelijk als gevolg van de gedeeltelijke verkoop van de portefeuille en van legaten.</t>
  </si>
  <si>
    <t>Het aandeel van legaten, giften en subsidies in onze opbrengsten bedraagt 84% in 2025. Dit percentage blijft relatief stabiel over de afgelopen vijf jaar.</t>
  </si>
  <si>
    <t>De financiële structuur van de vereniging is in 2025 in evenwicht.</t>
  </si>
  <si>
    <t>Onze liquiditeits- en solvabiliteitsgraad liggen boven de normen van de non-profitsector en maken het mogelijk onze verplichtingen na te komen.</t>
  </si>
  <si>
    <t>De thesauriepositie van de vereniging is positief en bedraagt € 3.789.162,13 voor het boekjaar 2025.</t>
  </si>
  <si>
    <t>De betalingstermijn van leveranciers is langer, namelijk 134 dagen, terwijl de betalingstermijn van klanten korter is, namelijk 53 dagen, voor het boekjaar 2025.</t>
  </si>
  <si>
    <t>De slijtagegraad van onze materiële en immateriële vaste activa wordt op het einde van het boekjaar 2025 geraamd op 21%. De verbetering van deze ratio is te danken aan de activering van kosten met betrekking tot het ERP-systeem Mercator.</t>
  </si>
  <si>
    <t>Concluderend tonen de indicatoren van de exploitatievoorwaarden een inkrimping van onze activiteit over de afgelopen vijf jaar, met evenwel een tendens tot herstel van het evenwicht in 2025.</t>
  </si>
  <si>
    <t>Het boekjaar 2025 werd afgesloten met een winst van € 281.110,39. Dit vormt een positief signaal en bevestigt, ondanks de impact van de overgedragen verliezen, de verbeterende dynamiek.</t>
  </si>
  <si>
    <t>De financiële structuur van Muco blijft gezond over de periode 2024-2025, zoals blijkt uit de structuurratio’s van de balans.</t>
  </si>
  <si>
    <t xml:space="preserve">Actions </t>
  </si>
  <si>
    <t>Autres</t>
  </si>
  <si>
    <t>Sociale steun</t>
  </si>
  <si>
    <t xml:space="preserve">Transplantatie kosten </t>
  </si>
  <si>
    <t xml:space="preserve">Therapie kosten </t>
  </si>
  <si>
    <t xml:space="preserve">Zorg en begeleiding patienten &amp;families </t>
  </si>
  <si>
    <t>Belangenverdediging(families&amp;volwassenen)</t>
  </si>
  <si>
    <t>Politieke campagne</t>
  </si>
  <si>
    <t>Informatie aan families &amp; educatie</t>
  </si>
  <si>
    <t>Aankoopen voeding &amp; med.materiaal</t>
  </si>
  <si>
    <t xml:space="preserve">Totaal steun families </t>
  </si>
  <si>
    <t>Onderzoeksprojecten</t>
  </si>
  <si>
    <t>Wetenschappelijke vorming</t>
  </si>
  <si>
    <t>CF Europe &amp; internationale samenwerking</t>
  </si>
  <si>
    <t>TOTAAL WETENSCHAPPEN</t>
  </si>
  <si>
    <t>Communicatie &amp; sensibilisatie</t>
  </si>
  <si>
    <t>Externe mailings DSC</t>
  </si>
  <si>
    <t>Interne  mailings</t>
  </si>
  <si>
    <t xml:space="preserve">Legaten </t>
  </si>
  <si>
    <t>Corporate fondsenwerving</t>
  </si>
  <si>
    <t>Lokale acties</t>
  </si>
  <si>
    <t xml:space="preserve">Verkoopsacties </t>
  </si>
  <si>
    <t xml:space="preserve">Evenementen </t>
  </si>
  <si>
    <t>Deelname aan netewerken</t>
  </si>
  <si>
    <t>Innovatie</t>
  </si>
  <si>
    <t>Personeel communicatie</t>
  </si>
  <si>
    <t>TOTAAL COMMUNICATIE</t>
  </si>
  <si>
    <t>Terugname uit provisie</t>
  </si>
  <si>
    <t>Provisie voor risicos en kosten</t>
  </si>
  <si>
    <t>Huisvesting</t>
  </si>
  <si>
    <t>Algemene werking&amp;kwaliteitsproject</t>
  </si>
  <si>
    <t>Bureaubenodigheden</t>
  </si>
  <si>
    <t>Post&amp;telefoon</t>
  </si>
  <si>
    <t>Informatica &amp; bestandsbeheer</t>
  </si>
  <si>
    <t xml:space="preserve">Administratieve kosten </t>
  </si>
  <si>
    <t>Personeel administratie</t>
  </si>
  <si>
    <t xml:space="preserve">Afschrijvingen </t>
  </si>
  <si>
    <t>Belastingen &amp; rechten</t>
  </si>
  <si>
    <t>Financiele kosten</t>
  </si>
  <si>
    <t>Algemene personeelskosten</t>
  </si>
  <si>
    <t xml:space="preserve">Uitzonderlijke kosten </t>
  </si>
  <si>
    <t>Financiele minwaarden</t>
  </si>
  <si>
    <t xml:space="preserve">TOTAAL ALGEMENE KOSTEN </t>
  </si>
  <si>
    <t>TOTAAL UITGAVEN</t>
  </si>
  <si>
    <t>Particuliere fondsenwerving</t>
  </si>
  <si>
    <t xml:space="preserve">Giften externe mailings </t>
  </si>
  <si>
    <t>Individuele giften via acties</t>
  </si>
  <si>
    <t xml:space="preserve">Individuele giften via evenementen </t>
  </si>
  <si>
    <t>Corporate sponsorship</t>
  </si>
  <si>
    <t>Fondsen</t>
  </si>
  <si>
    <t>TOTAAL GIFTEN</t>
  </si>
  <si>
    <t>TOTAAL ACTIES</t>
  </si>
  <si>
    <t>Subsidies</t>
  </si>
  <si>
    <t>Omttrekking</t>
  </si>
  <si>
    <t xml:space="preserve">Uitzonderlijke opbrengsten </t>
  </si>
  <si>
    <t>TOTAAL ANDER</t>
  </si>
  <si>
    <t xml:space="preserve">TOTAAL KOSTEN </t>
  </si>
  <si>
    <t xml:space="preserve">TOTAAL INKOMSTEN </t>
  </si>
  <si>
    <t xml:space="preserve">RESULTAAT </t>
  </si>
  <si>
    <t>Bijdragen voed, med.mat&amp;zorg</t>
  </si>
  <si>
    <t>Bijdragen tewerkstellingsmaatr.</t>
  </si>
  <si>
    <t>Bijdrage maaltijdscheques</t>
  </si>
  <si>
    <t xml:space="preserve">Financiële inkomsten </t>
  </si>
  <si>
    <t>Personeel (Families)</t>
  </si>
  <si>
    <t>Financiële steun aan families (Algemeen)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</si>
</sst>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3" x14ac:knownFonts="1">
    <font>
      <sz val="11"/>
      <color indexed="8"/>
      <name val="Calibri"/>
      <family val="2"/>
      <scheme val="minor"/>
    </font>
    <font>
      <sz val="11"/>
      <color theme="1"/>
      <name val="Calibri"/>
      <family val="2"/>
      <scheme val="minor"/>
    </font>
    <font>
      <sz val="11"/>
      <color rgb="FF000000"/>
      <name val="Calibri"/>
      <family val="2"/>
      <charset val="1"/>
    </font>
    <font>
      <sz val="11"/>
      <color rgb="FF000000"/>
      <name val="Calibri"/>
      <family val="2"/>
    </font>
    <font>
      <sz val="11"/>
      <color rgb="FFFFFFFF"/>
      <name val="Calibri"/>
      <family val="2"/>
    </font>
    <font>
      <sz val="11"/>
      <color rgb="FFFF0000"/>
      <name val="Calibri"/>
      <family val="2"/>
      <scheme val="minor"/>
    </font>
    <font>
      <sz val="11"/>
      <color theme="2"/>
      <name val="Calibri"/>
      <family val="2"/>
    </font>
    <font>
      <sz val="11"/>
      <color rgb="FFFF0000"/>
      <name val="Calibri"/>
      <family val="2"/>
    </font>
    <font>
      <sz val="11"/>
      <color rgb="FF000000"/>
      <name val="Calibri"/>
    </font>
    <font>
      <sz val="11"/>
      <color rgb="FFFFFFFF"/>
      <name val="Calibri"/>
    </font>
    <font>
      <sz val="16"/>
      <color indexed="8"/>
      <name val="Calibri"/>
      <family val="2"/>
      <scheme val="minor"/>
    </font>
    <font>
      <sz val="11"/>
      <color indexed="8"/>
      <name val="Calibri"/>
      <family val="2"/>
      <scheme val="minor"/>
    </font>
    <font>
      <sz val="11"/>
      <name val="Calibri"/>
      <family val="2"/>
    </font>
    <font>
      <b/>
      <sz val="11"/>
      <color theme="1"/>
      <name val="Calibri"/>
      <family val="2"/>
      <scheme val="minor"/>
    </font>
    <font>
      <sz val="11"/>
      <color theme="1"/>
      <name val="Calibri"/>
      <family val="2"/>
    </font>
    <font>
      <sz val="8"/>
      <name val="Calibri"/>
      <family val="2"/>
      <scheme val="minor"/>
    </font>
    <font>
      <sz val="11"/>
      <name val="Calibri"/>
      <family val="2"/>
      <scheme val="minor"/>
    </font>
    <font>
      <b/>
      <sz val="18"/>
      <color theme="1"/>
      <name val="Calibri"/>
      <family val="2"/>
      <scheme val="minor"/>
    </font>
    <font>
      <i/>
      <sz val="11"/>
      <color theme="1"/>
      <name val="Calibri"/>
      <family val="2"/>
      <scheme val="minor"/>
    </font>
    <font>
      <sz val="11"/>
      <color theme="1"/>
      <name val="Aptos Narrow"/>
      <family val="2"/>
    </font>
    <font>
      <sz val="11"/>
      <color theme="1"/>
      <name val="Calibri"/>
      <family val="2"/>
      <charset val="1"/>
    </font>
    <font>
      <sz val="10"/>
      <color theme="1"/>
      <name val="Calibri"/>
      <family val="2"/>
      <charset val="1"/>
      <scheme val="minor"/>
    </font>
    <font>
      <sz val="11"/>
      <color rgb="FFC00000"/>
      <name val="Calibri"/>
      <family val="2"/>
    </font>
  </fonts>
  <fills count="9">
    <fill>
      <patternFill patternType="none"/>
    </fill>
    <fill>
      <patternFill patternType="gray125"/>
    </fill>
    <fill>
      <patternFill patternType="solid">
        <fgColor rgb="FF454545"/>
      </patternFill>
    </fill>
    <fill>
      <patternFill patternType="solid">
        <fgColor rgb="FF454545"/>
        <bgColor rgb="FFFFFFCC"/>
      </patternFill>
    </fill>
    <fill>
      <patternFill patternType="solid">
        <fgColor rgb="FF00B050"/>
        <bgColor rgb="FFCCFFFF"/>
      </patternFill>
    </fill>
    <fill>
      <patternFill patternType="solid">
        <fgColor rgb="FF00B05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B57C"/>
      </patternFill>
    </fill>
  </fills>
  <borders count="34">
    <border>
      <left/>
      <right/>
      <top/>
      <bottom/>
      <diagonal/>
    </border>
    <border>
      <left/>
      <right/>
      <top/>
      <bottom/>
      <diagonal/>
    </border>
    <border>
      <left/>
      <right/>
      <top style="medium">
        <color rgb="FF025659"/>
      </top>
      <bottom style="medium">
        <color rgb="FF025659"/>
      </bottom>
      <diagonal/>
    </border>
    <border>
      <left/>
      <right style="thick">
        <color rgb="FF00B57C"/>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thick">
        <color auto="1"/>
      </right>
      <top/>
      <bottom style="thin">
        <color indexed="64"/>
      </bottom>
      <diagonal/>
    </border>
    <border>
      <left style="thick">
        <color auto="1"/>
      </left>
      <right style="thick">
        <color auto="1"/>
      </right>
      <top/>
      <bottom/>
      <diagonal/>
    </border>
    <border>
      <left/>
      <right style="thick">
        <color auto="1"/>
      </right>
      <top/>
      <bottom/>
      <diagonal/>
    </border>
    <border>
      <left/>
      <right style="thick">
        <color auto="1"/>
      </right>
      <top/>
      <bottom style="thin">
        <color indexed="64"/>
      </bottom>
      <diagonal/>
    </border>
    <border>
      <left style="thick">
        <color auto="1"/>
      </left>
      <right style="thick">
        <color auto="1"/>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style="thin">
        <color indexed="64"/>
      </top>
      <bottom/>
      <diagonal/>
    </border>
    <border>
      <left style="thick">
        <color auto="1"/>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medium">
        <color auto="1"/>
      </right>
      <top style="thin">
        <color indexed="64"/>
      </top>
      <bottom/>
      <diagonal/>
    </border>
    <border>
      <left style="thick">
        <color auto="1"/>
      </left>
      <right style="thick">
        <color auto="1"/>
      </right>
      <top style="thin">
        <color auto="1"/>
      </top>
      <bottom style="thick">
        <color auto="1"/>
      </bottom>
      <diagonal/>
    </border>
    <border>
      <left style="thick">
        <color auto="1"/>
      </left>
      <right style="thick">
        <color auto="1"/>
      </right>
      <top/>
      <bottom style="thick">
        <color auto="1"/>
      </bottom>
      <diagonal/>
    </border>
    <border>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style="medium">
        <color rgb="FF025659"/>
      </top>
      <bottom style="medium">
        <color rgb="FF025659"/>
      </bottom>
      <diagonal/>
    </border>
    <border>
      <left style="medium">
        <color indexed="64"/>
      </left>
      <right style="thick">
        <color auto="1"/>
      </right>
      <top/>
      <bottom/>
      <diagonal/>
    </border>
    <border>
      <left style="thick">
        <color auto="1"/>
      </left>
      <right/>
      <top/>
      <bottom style="thick">
        <color auto="1"/>
      </bottom>
      <diagonal/>
    </border>
    <border>
      <left/>
      <right style="thick">
        <color rgb="FF00B57C"/>
      </right>
      <top/>
      <bottom style="thick">
        <color auto="1"/>
      </bottom>
      <diagonal/>
    </border>
    <border>
      <left/>
      <right/>
      <top/>
      <bottom style="thick">
        <color auto="1"/>
      </bottom>
      <diagonal/>
    </border>
    <border>
      <left style="medium">
        <color indexed="64"/>
      </left>
      <right style="thick">
        <color auto="1"/>
      </right>
      <top/>
      <bottom style="thick">
        <color auto="1"/>
      </bottom>
      <diagonal/>
    </border>
    <border>
      <left/>
      <right style="thick">
        <color auto="1"/>
      </right>
      <top/>
      <bottom style="thick">
        <color auto="1"/>
      </bottom>
      <diagonal/>
    </border>
  </borders>
  <cellStyleXfs count="3">
    <xf numFmtId="0" fontId="0" fillId="0" borderId="0"/>
    <xf numFmtId="9" fontId="11" fillId="0" borderId="0" applyFont="0" applyFill="0" applyBorder="0" applyAlignment="0" applyProtection="0"/>
    <xf numFmtId="0" fontId="1" fillId="0" borderId="1"/>
  </cellStyleXfs>
  <cellXfs count="127">
    <xf numFmtId="0" fontId="0" fillId="0" borderId="0" xfId="0"/>
    <xf numFmtId="0" fontId="3" fillId="0" borderId="0" xfId="0" applyFont="1"/>
    <xf numFmtId="0" fontId="5" fillId="0" borderId="0" xfId="0" applyFont="1"/>
    <xf numFmtId="3" fontId="8" fillId="0" borderId="3" xfId="0" applyNumberFormat="1" applyFont="1" applyBorder="1"/>
    <xf numFmtId="3" fontId="9" fillId="3" borderId="3" xfId="0" applyNumberFormat="1" applyFont="1" applyFill="1" applyBorder="1"/>
    <xf numFmtId="17" fontId="0" fillId="0" borderId="0" xfId="0" applyNumberFormat="1"/>
    <xf numFmtId="0" fontId="10" fillId="0" borderId="0" xfId="0" applyFont="1"/>
    <xf numFmtId="3" fontId="6" fillId="5" borderId="2" xfId="0" applyNumberFormat="1" applyFont="1" applyFill="1" applyBorder="1"/>
    <xf numFmtId="9" fontId="6" fillId="5" borderId="2" xfId="1" applyFont="1" applyFill="1" applyBorder="1"/>
    <xf numFmtId="0" fontId="17" fillId="0" borderId="0" xfId="0" applyFont="1"/>
    <xf numFmtId="0" fontId="13" fillId="0" borderId="0" xfId="0" applyFont="1"/>
    <xf numFmtId="0" fontId="13" fillId="0" borderId="5" xfId="0" applyFont="1" applyBorder="1"/>
    <xf numFmtId="0" fontId="0" fillId="0" borderId="6" xfId="0" applyBorder="1"/>
    <xf numFmtId="0" fontId="0" fillId="0" borderId="7" xfId="0" applyBorder="1"/>
    <xf numFmtId="0" fontId="13" fillId="0" borderId="6" xfId="0" applyFont="1" applyBorder="1"/>
    <xf numFmtId="0" fontId="13" fillId="0" borderId="8" xfId="0" applyFont="1" applyBorder="1"/>
    <xf numFmtId="0" fontId="13" fillId="0" borderId="9" xfId="0" applyFont="1" applyBorder="1"/>
    <xf numFmtId="0" fontId="13" fillId="6" borderId="10" xfId="0" applyFont="1" applyFill="1" applyBorder="1" applyAlignment="1">
      <alignment horizontal="left" indent="6"/>
    </xf>
    <xf numFmtId="0" fontId="0" fillId="0" borderId="11" xfId="0" applyBorder="1"/>
    <xf numFmtId="0" fontId="0" fillId="0" borderId="11" xfId="0" applyBorder="1" applyAlignment="1">
      <alignment horizontal="center" vertical="center"/>
    </xf>
    <xf numFmtId="9" fontId="0" fillId="0" borderId="12" xfId="0" applyNumberFormat="1" applyBorder="1" applyAlignment="1">
      <alignment horizontal="center" vertical="center"/>
    </xf>
    <xf numFmtId="0" fontId="0" fillId="0" borderId="12" xfId="0" applyBorder="1" applyAlignment="1">
      <alignment horizontal="right" vertical="center"/>
    </xf>
    <xf numFmtId="1" fontId="0" fillId="0" borderId="13" xfId="1" applyNumberFormat="1" applyFont="1" applyBorder="1"/>
    <xf numFmtId="2" fontId="0" fillId="0" borderId="10" xfId="1" applyNumberFormat="1" applyFont="1" applyBorder="1"/>
    <xf numFmtId="0" fontId="0" fillId="0" borderId="14" xfId="0" applyBorder="1" applyAlignment="1">
      <alignment horizontal="left" indent="6"/>
    </xf>
    <xf numFmtId="0" fontId="0" fillId="0" borderId="14" xfId="0" applyBorder="1" applyAlignment="1">
      <alignment horizontal="center" vertical="center"/>
    </xf>
    <xf numFmtId="9" fontId="0" fillId="0" borderId="15" xfId="0" applyNumberFormat="1" applyBorder="1" applyAlignment="1">
      <alignment horizontal="center" vertical="center"/>
    </xf>
    <xf numFmtId="0" fontId="0" fillId="0" borderId="15" xfId="0" applyBorder="1" applyAlignment="1">
      <alignment horizontal="right" vertical="center"/>
    </xf>
    <xf numFmtId="0" fontId="0" fillId="0" borderId="15" xfId="0" applyBorder="1"/>
    <xf numFmtId="0" fontId="0" fillId="0" borderId="14" xfId="0" applyBorder="1"/>
    <xf numFmtId="0" fontId="18" fillId="0" borderId="14" xfId="0" applyFont="1" applyBorder="1" applyAlignment="1">
      <alignment horizontal="left" indent="6"/>
    </xf>
    <xf numFmtId="1" fontId="0" fillId="0" borderId="15" xfId="1" applyNumberFormat="1" applyFont="1" applyBorder="1"/>
    <xf numFmtId="1" fontId="0" fillId="0" borderId="14" xfId="1" applyNumberFormat="1" applyFont="1" applyBorder="1"/>
    <xf numFmtId="0" fontId="0" fillId="0" borderId="15" xfId="0" applyBorder="1" applyAlignment="1">
      <alignment horizontal="center" vertical="center"/>
    </xf>
    <xf numFmtId="0" fontId="13" fillId="6" borderId="14" xfId="0" applyFont="1" applyFill="1" applyBorder="1" applyAlignment="1">
      <alignment horizontal="left" indent="6"/>
    </xf>
    <xf numFmtId="2" fontId="0" fillId="0" borderId="15" xfId="1" applyNumberFormat="1" applyFont="1" applyBorder="1"/>
    <xf numFmtId="2" fontId="0" fillId="0" borderId="14" xfId="1" applyNumberFormat="1" applyFont="1" applyBorder="1"/>
    <xf numFmtId="0" fontId="13" fillId="0" borderId="14" xfId="0" applyFont="1" applyBorder="1"/>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15" xfId="0" applyFont="1" applyBorder="1" applyAlignment="1">
      <alignment horizontal="right" vertical="center"/>
    </xf>
    <xf numFmtId="0" fontId="0" fillId="6" borderId="14" xfId="0" applyFill="1" applyBorder="1" applyAlignment="1">
      <alignment horizontal="left" indent="7"/>
    </xf>
    <xf numFmtId="0" fontId="0" fillId="0" borderId="14" xfId="0" applyBorder="1" applyAlignment="1">
      <alignment horizontal="left" indent="7"/>
    </xf>
    <xf numFmtId="0" fontId="0" fillId="0" borderId="17" xfId="0" applyBorder="1" applyAlignment="1">
      <alignment horizontal="center" vertical="center"/>
    </xf>
    <xf numFmtId="9" fontId="0" fillId="0" borderId="18" xfId="0" applyNumberFormat="1" applyBorder="1" applyAlignment="1">
      <alignment horizontal="center"/>
    </xf>
    <xf numFmtId="0" fontId="0" fillId="0" borderId="13" xfId="0" applyBorder="1" applyAlignment="1">
      <alignment horizontal="center" vertical="center"/>
    </xf>
    <xf numFmtId="1" fontId="0" fillId="0" borderId="15" xfId="0" applyNumberFormat="1" applyBorder="1"/>
    <xf numFmtId="1" fontId="0" fillId="0" borderId="14" xfId="0" applyNumberFormat="1" applyBorder="1"/>
    <xf numFmtId="9" fontId="0" fillId="0" borderId="15" xfId="1" applyFont="1" applyBorder="1" applyAlignment="1">
      <alignment horizontal="center" vertical="center"/>
    </xf>
    <xf numFmtId="44" fontId="0" fillId="0" borderId="15" xfId="0" applyNumberFormat="1" applyBorder="1" applyAlignment="1">
      <alignment horizontal="right" vertical="center"/>
    </xf>
    <xf numFmtId="44" fontId="0" fillId="0" borderId="15" xfId="0" applyNumberFormat="1" applyBorder="1"/>
    <xf numFmtId="44" fontId="0" fillId="0" borderId="14" xfId="0" applyNumberFormat="1" applyBorder="1"/>
    <xf numFmtId="0" fontId="13" fillId="0" borderId="15" xfId="0" applyFont="1" applyBorder="1" applyAlignment="1">
      <alignment horizontal="center" vertical="center"/>
    </xf>
    <xf numFmtId="0" fontId="13" fillId="0" borderId="15" xfId="0" applyFont="1" applyBorder="1" applyAlignment="1">
      <alignment vertical="center"/>
    </xf>
    <xf numFmtId="0" fontId="0" fillId="6" borderId="14" xfId="0" applyFill="1" applyBorder="1" applyAlignment="1">
      <alignment horizontal="left" indent="3"/>
    </xf>
    <xf numFmtId="0" fontId="0" fillId="0" borderId="14" xfId="0" applyBorder="1" applyAlignment="1">
      <alignment horizontal="left" indent="3"/>
    </xf>
    <xf numFmtId="0" fontId="0" fillId="0" borderId="15" xfId="0" applyBorder="1" applyAlignment="1">
      <alignment vertical="center"/>
    </xf>
    <xf numFmtId="0" fontId="0" fillId="6" borderId="14" xfId="0" applyFill="1" applyBorder="1" applyAlignment="1">
      <alignment horizontal="left" indent="6"/>
    </xf>
    <xf numFmtId="2" fontId="0" fillId="0" borderId="15" xfId="0" applyNumberFormat="1" applyBorder="1"/>
    <xf numFmtId="2" fontId="0" fillId="0" borderId="14" xfId="0" applyNumberFormat="1" applyBorder="1"/>
    <xf numFmtId="164" fontId="0" fillId="0" borderId="15" xfId="0" applyNumberFormat="1" applyBorder="1" applyAlignment="1">
      <alignment vertical="center"/>
    </xf>
    <xf numFmtId="44" fontId="0" fillId="0" borderId="15" xfId="0" applyNumberFormat="1" applyBorder="1" applyAlignment="1">
      <alignment vertical="center"/>
    </xf>
    <xf numFmtId="0" fontId="1" fillId="0" borderId="14" xfId="0" applyFont="1" applyBorder="1" applyAlignment="1">
      <alignment horizontal="left" indent="6"/>
    </xf>
    <xf numFmtId="1" fontId="0" fillId="0" borderId="14" xfId="0" applyNumberFormat="1" applyBorder="1" applyAlignment="1">
      <alignment horizontal="center" vertical="center"/>
    </xf>
    <xf numFmtId="1" fontId="0" fillId="0" borderId="15" xfId="0" applyNumberFormat="1" applyBorder="1" applyAlignment="1">
      <alignment horizontal="center" vertical="center"/>
    </xf>
    <xf numFmtId="0" fontId="0" fillId="6" borderId="20" xfId="0" applyFill="1" applyBorder="1"/>
    <xf numFmtId="0" fontId="0" fillId="0" borderId="21" xfId="0" applyBorder="1"/>
    <xf numFmtId="0" fontId="0" fillId="0" borderId="21" xfId="0" applyBorder="1" applyAlignment="1">
      <alignment horizontal="center" vertical="center"/>
    </xf>
    <xf numFmtId="0" fontId="0" fillId="0" borderId="20" xfId="0" applyBorder="1" applyAlignment="1">
      <alignment vertical="center"/>
    </xf>
    <xf numFmtId="1" fontId="0" fillId="0" borderId="7" xfId="1" applyNumberFormat="1" applyFont="1" applyBorder="1"/>
    <xf numFmtId="0" fontId="0" fillId="0" borderId="20" xfId="0" applyBorder="1"/>
    <xf numFmtId="9" fontId="0" fillId="0" borderId="1" xfId="1" applyFont="1" applyBorder="1"/>
    <xf numFmtId="0" fontId="1" fillId="0" borderId="0" xfId="0" applyFont="1"/>
    <xf numFmtId="0" fontId="13" fillId="6" borderId="14" xfId="0" applyFont="1" applyFill="1" applyBorder="1" applyAlignment="1">
      <alignment horizontal="left" indent="7"/>
    </xf>
    <xf numFmtId="0" fontId="0" fillId="0" borderId="14" xfId="0" applyBorder="1" applyAlignment="1">
      <alignment horizontal="center"/>
    </xf>
    <xf numFmtId="0" fontId="13" fillId="0" borderId="14" xfId="0" applyFont="1" applyBorder="1" applyAlignment="1">
      <alignment horizontal="center"/>
    </xf>
    <xf numFmtId="0" fontId="13" fillId="6" borderId="14" xfId="0" applyFont="1" applyFill="1" applyBorder="1" applyAlignment="1">
      <alignment horizontal="left" indent="3"/>
    </xf>
    <xf numFmtId="0" fontId="21" fillId="6" borderId="14" xfId="0" applyFont="1" applyFill="1" applyBorder="1" applyAlignment="1">
      <alignment horizontal="left" indent="6"/>
    </xf>
    <xf numFmtId="0" fontId="0" fillId="0" borderId="0" xfId="0" applyAlignment="1">
      <alignment horizontal="center" vertical="center"/>
    </xf>
    <xf numFmtId="1" fontId="0" fillId="0" borderId="1" xfId="1" applyNumberFormat="1" applyFont="1" applyBorder="1"/>
    <xf numFmtId="0" fontId="13" fillId="0" borderId="4" xfId="0" applyFont="1" applyBorder="1"/>
    <xf numFmtId="0" fontId="1" fillId="0" borderId="19" xfId="2" applyBorder="1"/>
    <xf numFmtId="0" fontId="1" fillId="0" borderId="1" xfId="2"/>
    <xf numFmtId="0" fontId="1" fillId="0" borderId="22" xfId="2" applyBorder="1"/>
    <xf numFmtId="0" fontId="2" fillId="4" borderId="23" xfId="0" applyFont="1" applyFill="1" applyBorder="1" applyAlignment="1">
      <alignment horizontal="center"/>
    </xf>
    <xf numFmtId="17" fontId="2" fillId="4" borderId="24" xfId="0" applyNumberFormat="1" applyFont="1" applyFill="1" applyBorder="1" applyAlignment="1">
      <alignment horizontal="center"/>
    </xf>
    <xf numFmtId="0" fontId="2" fillId="4" borderId="24" xfId="0" applyFont="1" applyFill="1" applyBorder="1" applyAlignment="1">
      <alignment horizontal="center"/>
    </xf>
    <xf numFmtId="0" fontId="0" fillId="5" borderId="25" xfId="0" applyFill="1" applyBorder="1"/>
    <xf numFmtId="0" fontId="4" fillId="5" borderId="26" xfId="0" applyFont="1" applyFill="1" applyBorder="1"/>
    <xf numFmtId="0" fontId="4" fillId="5" borderId="1" xfId="0" applyFont="1" applyFill="1" applyBorder="1"/>
    <xf numFmtId="0" fontId="3" fillId="0" borderId="26" xfId="0" applyFont="1" applyBorder="1"/>
    <xf numFmtId="3" fontId="3" fillId="0" borderId="1" xfId="0" applyNumberFormat="1" applyFont="1" applyBorder="1"/>
    <xf numFmtId="3" fontId="3" fillId="7" borderId="1" xfId="0" applyNumberFormat="1" applyFont="1" applyFill="1" applyBorder="1"/>
    <xf numFmtId="9" fontId="3" fillId="0" borderId="1" xfId="1" applyFont="1" applyFill="1" applyBorder="1"/>
    <xf numFmtId="0" fontId="8" fillId="0" borderId="12" xfId="0" applyFont="1" applyBorder="1"/>
    <xf numFmtId="3" fontId="12" fillId="0" borderId="1" xfId="0" applyNumberFormat="1" applyFont="1" applyBorder="1"/>
    <xf numFmtId="0" fontId="0" fillId="0" borderId="1" xfId="0" applyBorder="1"/>
    <xf numFmtId="0" fontId="3" fillId="0" borderId="1" xfId="0" applyFont="1" applyBorder="1"/>
    <xf numFmtId="0" fontId="3" fillId="7" borderId="1" xfId="0" applyFont="1" applyFill="1" applyBorder="1"/>
    <xf numFmtId="3" fontId="9" fillId="5" borderId="1" xfId="0" applyNumberFormat="1" applyFont="1" applyFill="1" applyBorder="1"/>
    <xf numFmtId="0" fontId="0" fillId="5" borderId="12" xfId="0" applyFill="1" applyBorder="1"/>
    <xf numFmtId="9" fontId="3" fillId="0" borderId="1" xfId="1" applyFont="1" applyBorder="1"/>
    <xf numFmtId="0" fontId="3" fillId="0" borderId="12" xfId="0" applyFont="1" applyBorder="1"/>
    <xf numFmtId="3" fontId="12" fillId="7" borderId="1" xfId="0" applyNumberFormat="1" applyFont="1" applyFill="1" applyBorder="1"/>
    <xf numFmtId="0" fontId="12" fillId="0" borderId="26" xfId="0" applyFont="1" applyBorder="1"/>
    <xf numFmtId="0" fontId="16" fillId="0" borderId="1" xfId="0" applyFont="1" applyBorder="1"/>
    <xf numFmtId="3" fontId="6" fillId="5" borderId="27" xfId="0" applyNumberFormat="1" applyFont="1" applyFill="1" applyBorder="1"/>
    <xf numFmtId="0" fontId="4" fillId="8" borderId="12" xfId="0" applyFont="1" applyFill="1" applyBorder="1"/>
    <xf numFmtId="0" fontId="4" fillId="2" borderId="26" xfId="0" applyFont="1" applyFill="1" applyBorder="1"/>
    <xf numFmtId="3" fontId="4" fillId="2" borderId="1" xfId="0" applyNumberFormat="1" applyFont="1" applyFill="1" applyBorder="1"/>
    <xf numFmtId="9" fontId="4" fillId="2" borderId="1" xfId="1" applyFont="1" applyFill="1" applyBorder="1"/>
    <xf numFmtId="0" fontId="9" fillId="2" borderId="12" xfId="0" applyFont="1" applyFill="1" applyBorder="1"/>
    <xf numFmtId="4" fontId="3" fillId="0" borderId="1" xfId="0" applyNumberFormat="1" applyFont="1" applyBorder="1"/>
    <xf numFmtId="0" fontId="0" fillId="0" borderId="12" xfId="0" applyBorder="1"/>
    <xf numFmtId="0" fontId="4" fillId="2" borderId="28" xfId="0" applyFont="1" applyFill="1" applyBorder="1"/>
    <xf numFmtId="3" fontId="9" fillId="2" borderId="1" xfId="0" applyNumberFormat="1" applyFont="1" applyFill="1" applyBorder="1"/>
    <xf numFmtId="0" fontId="4" fillId="2" borderId="29" xfId="0" applyFont="1" applyFill="1" applyBorder="1"/>
    <xf numFmtId="3" fontId="9" fillId="3" borderId="30" xfId="0" applyNumberFormat="1" applyFont="1" applyFill="1" applyBorder="1"/>
    <xf numFmtId="3" fontId="22" fillId="3" borderId="30" xfId="0" applyNumberFormat="1" applyFont="1" applyFill="1" applyBorder="1"/>
    <xf numFmtId="3" fontId="4" fillId="2" borderId="31" xfId="0" applyNumberFormat="1" applyFont="1" applyFill="1" applyBorder="1"/>
    <xf numFmtId="3" fontId="7" fillId="2" borderId="31" xfId="0" applyNumberFormat="1" applyFont="1" applyFill="1" applyBorder="1"/>
    <xf numFmtId="9" fontId="4" fillId="2" borderId="31" xfId="1" applyFont="1" applyFill="1" applyBorder="1"/>
    <xf numFmtId="0" fontId="4" fillId="2" borderId="32" xfId="0" applyFont="1" applyFill="1" applyBorder="1"/>
    <xf numFmtId="17" fontId="2" fillId="4" borderId="23" xfId="0" applyNumberFormat="1" applyFont="1" applyFill="1" applyBorder="1" applyAlignment="1">
      <alignment horizontal="center"/>
    </xf>
    <xf numFmtId="0" fontId="4" fillId="5" borderId="29" xfId="0" applyFont="1" applyFill="1" applyBorder="1"/>
    <xf numFmtId="0" fontId="4" fillId="5" borderId="31" xfId="0" applyFont="1" applyFill="1" applyBorder="1"/>
    <xf numFmtId="0" fontId="4" fillId="5" borderId="33" xfId="0" applyFont="1" applyFill="1" applyBorder="1"/>
  </cellXfs>
  <cellStyles count="3">
    <cellStyle name="Normal" xfId="0" builtinId="0"/>
    <cellStyle name="Normal 2 4" xfId="2" xr:uid="{D12F41B0-B1AC-45FB-B194-3307DED24A9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Evolution du résultat 2019-2025</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'Graphiques 2025'!$L$4</c:f>
              <c:strCache>
                <c:ptCount val="1"/>
                <c:pt idx="0">
                  <c:v>déc-19</c:v>
                </c:pt>
              </c:strCache>
            </c:strRef>
          </c:tx>
          <c:spPr>
            <a:solidFill>
              <a:schemeClr val="accent1"/>
            </a:solidFill>
            <a:ln>
              <a:noFill/>
            </a:ln>
            <a:effectLst/>
          </c:spPr>
          <c:invertIfNegative val="0"/>
          <c:cat>
            <c:strRef>
              <c:f>'Graphiques 2025'!$K$5</c:f>
              <c:strCache>
                <c:ptCount val="1"/>
                <c:pt idx="0">
                  <c:v>Résultat</c:v>
                </c:pt>
              </c:strCache>
            </c:strRef>
          </c:cat>
          <c:val>
            <c:numRef>
              <c:f>'Graphiques 2025'!$L$5</c:f>
              <c:numCache>
                <c:formatCode>General</c:formatCode>
                <c:ptCount val="1"/>
                <c:pt idx="0">
                  <c:v>614841</c:v>
                </c:pt>
              </c:numCache>
            </c:numRef>
          </c:val>
          <c:extLst>
            <c:ext xmlns:c16="http://schemas.microsoft.com/office/drawing/2014/chart" uri="{C3380CC4-5D6E-409C-BE32-E72D297353CC}">
              <c16:uniqueId val="{00000000-0E5B-439A-B313-0831AC6D20E4}"/>
            </c:ext>
          </c:extLst>
        </c:ser>
        <c:ser>
          <c:idx val="1"/>
          <c:order val="1"/>
          <c:tx>
            <c:strRef>
              <c:f>'Graphiques 2025'!$M$4</c:f>
              <c:strCache>
                <c:ptCount val="1"/>
                <c:pt idx="0">
                  <c:v>déc-20</c:v>
                </c:pt>
              </c:strCache>
            </c:strRef>
          </c:tx>
          <c:spPr>
            <a:solidFill>
              <a:schemeClr val="accent2"/>
            </a:solidFill>
            <a:ln>
              <a:noFill/>
            </a:ln>
            <a:effectLst/>
          </c:spPr>
          <c:invertIfNegative val="0"/>
          <c:cat>
            <c:strRef>
              <c:f>'Graphiques 2025'!$K$5</c:f>
              <c:strCache>
                <c:ptCount val="1"/>
                <c:pt idx="0">
                  <c:v>Résultat</c:v>
                </c:pt>
              </c:strCache>
            </c:strRef>
          </c:cat>
          <c:val>
            <c:numRef>
              <c:f>'Graphiques 2025'!$M$5</c:f>
              <c:numCache>
                <c:formatCode>General</c:formatCode>
                <c:ptCount val="1"/>
                <c:pt idx="0">
                  <c:v>-512021</c:v>
                </c:pt>
              </c:numCache>
            </c:numRef>
          </c:val>
          <c:extLst>
            <c:ext xmlns:c16="http://schemas.microsoft.com/office/drawing/2014/chart" uri="{C3380CC4-5D6E-409C-BE32-E72D297353CC}">
              <c16:uniqueId val="{00000001-0E5B-439A-B313-0831AC6D20E4}"/>
            </c:ext>
          </c:extLst>
        </c:ser>
        <c:ser>
          <c:idx val="2"/>
          <c:order val="2"/>
          <c:tx>
            <c:strRef>
              <c:f>'Graphiques 2025'!$N$4</c:f>
              <c:strCache>
                <c:ptCount val="1"/>
                <c:pt idx="0">
                  <c:v>déc-21</c:v>
                </c:pt>
              </c:strCache>
            </c:strRef>
          </c:tx>
          <c:spPr>
            <a:solidFill>
              <a:schemeClr val="accent3"/>
            </a:solidFill>
            <a:ln>
              <a:noFill/>
            </a:ln>
            <a:effectLst/>
          </c:spPr>
          <c:invertIfNegative val="0"/>
          <c:cat>
            <c:strRef>
              <c:f>'Graphiques 2025'!$K$5</c:f>
              <c:strCache>
                <c:ptCount val="1"/>
                <c:pt idx="0">
                  <c:v>Résultat</c:v>
                </c:pt>
              </c:strCache>
            </c:strRef>
          </c:cat>
          <c:val>
            <c:numRef>
              <c:f>'Graphiques 2025'!$N$5</c:f>
              <c:numCache>
                <c:formatCode>General</c:formatCode>
                <c:ptCount val="1"/>
                <c:pt idx="0">
                  <c:v>453816</c:v>
                </c:pt>
              </c:numCache>
            </c:numRef>
          </c:val>
          <c:extLst>
            <c:ext xmlns:c16="http://schemas.microsoft.com/office/drawing/2014/chart" uri="{C3380CC4-5D6E-409C-BE32-E72D297353CC}">
              <c16:uniqueId val="{00000002-0E5B-439A-B313-0831AC6D20E4}"/>
            </c:ext>
          </c:extLst>
        </c:ser>
        <c:ser>
          <c:idx val="3"/>
          <c:order val="3"/>
          <c:tx>
            <c:strRef>
              <c:f>'Graphiques 2025'!$O$4</c:f>
              <c:strCache>
                <c:ptCount val="1"/>
                <c:pt idx="0">
                  <c:v>déc-22</c:v>
                </c:pt>
              </c:strCache>
            </c:strRef>
          </c:tx>
          <c:spPr>
            <a:solidFill>
              <a:schemeClr val="accent4"/>
            </a:solidFill>
            <a:ln>
              <a:noFill/>
            </a:ln>
            <a:effectLst/>
          </c:spPr>
          <c:invertIfNegative val="0"/>
          <c:cat>
            <c:strRef>
              <c:f>'Graphiques 2025'!$K$5</c:f>
              <c:strCache>
                <c:ptCount val="1"/>
                <c:pt idx="0">
                  <c:v>Résultat</c:v>
                </c:pt>
              </c:strCache>
            </c:strRef>
          </c:cat>
          <c:val>
            <c:numRef>
              <c:f>'Graphiques 2025'!$O$5</c:f>
              <c:numCache>
                <c:formatCode>General</c:formatCode>
                <c:ptCount val="1"/>
                <c:pt idx="0">
                  <c:v>276536.05</c:v>
                </c:pt>
              </c:numCache>
            </c:numRef>
          </c:val>
          <c:extLst>
            <c:ext xmlns:c16="http://schemas.microsoft.com/office/drawing/2014/chart" uri="{C3380CC4-5D6E-409C-BE32-E72D297353CC}">
              <c16:uniqueId val="{00000003-0E5B-439A-B313-0831AC6D20E4}"/>
            </c:ext>
          </c:extLst>
        </c:ser>
        <c:ser>
          <c:idx val="4"/>
          <c:order val="4"/>
          <c:tx>
            <c:strRef>
              <c:f>'Graphiques 2025'!$P$4</c:f>
              <c:strCache>
                <c:ptCount val="1"/>
                <c:pt idx="0">
                  <c:v>déc-23</c:v>
                </c:pt>
              </c:strCache>
            </c:strRef>
          </c:tx>
          <c:spPr>
            <a:solidFill>
              <a:schemeClr val="accent5"/>
            </a:solidFill>
            <a:ln>
              <a:noFill/>
            </a:ln>
            <a:effectLst/>
          </c:spPr>
          <c:invertIfNegative val="0"/>
          <c:cat>
            <c:strRef>
              <c:f>'Graphiques 2025'!$K$5</c:f>
              <c:strCache>
                <c:ptCount val="1"/>
                <c:pt idx="0">
                  <c:v>Résultat</c:v>
                </c:pt>
              </c:strCache>
            </c:strRef>
          </c:cat>
          <c:val>
            <c:numRef>
              <c:f>'Graphiques 2025'!$P$5</c:f>
              <c:numCache>
                <c:formatCode>General</c:formatCode>
                <c:ptCount val="1"/>
                <c:pt idx="0">
                  <c:v>-399670.32</c:v>
                </c:pt>
              </c:numCache>
            </c:numRef>
          </c:val>
          <c:extLst>
            <c:ext xmlns:c16="http://schemas.microsoft.com/office/drawing/2014/chart" uri="{C3380CC4-5D6E-409C-BE32-E72D297353CC}">
              <c16:uniqueId val="{00000004-0E5B-439A-B313-0831AC6D20E4}"/>
            </c:ext>
          </c:extLst>
        </c:ser>
        <c:ser>
          <c:idx val="5"/>
          <c:order val="5"/>
          <c:tx>
            <c:strRef>
              <c:f>'Graphiques 2025'!$Q$4</c:f>
              <c:strCache>
                <c:ptCount val="1"/>
                <c:pt idx="0">
                  <c:v>déc-24</c:v>
                </c:pt>
              </c:strCache>
            </c:strRef>
          </c:tx>
          <c:spPr>
            <a:solidFill>
              <a:schemeClr val="accent6"/>
            </a:solidFill>
            <a:ln>
              <a:noFill/>
            </a:ln>
            <a:effectLst/>
          </c:spPr>
          <c:invertIfNegative val="0"/>
          <c:cat>
            <c:strRef>
              <c:f>'Graphiques 2025'!$K$5</c:f>
              <c:strCache>
                <c:ptCount val="1"/>
                <c:pt idx="0">
                  <c:v>Résultat</c:v>
                </c:pt>
              </c:strCache>
            </c:strRef>
          </c:cat>
          <c:val>
            <c:numRef>
              <c:f>'Graphiques 2025'!$Q$5</c:f>
              <c:numCache>
                <c:formatCode>General</c:formatCode>
                <c:ptCount val="1"/>
                <c:pt idx="0">
                  <c:v>-613922.77</c:v>
                </c:pt>
              </c:numCache>
            </c:numRef>
          </c:val>
          <c:extLst>
            <c:ext xmlns:c16="http://schemas.microsoft.com/office/drawing/2014/chart" uri="{C3380CC4-5D6E-409C-BE32-E72D297353CC}">
              <c16:uniqueId val="{00000005-0E5B-439A-B313-0831AC6D20E4}"/>
            </c:ext>
          </c:extLst>
        </c:ser>
        <c:ser>
          <c:idx val="6"/>
          <c:order val="6"/>
          <c:tx>
            <c:strRef>
              <c:f>'Graphiques 2025'!$R$4</c:f>
              <c:strCache>
                <c:ptCount val="1"/>
                <c:pt idx="0">
                  <c:v>déc-25</c:v>
                </c:pt>
              </c:strCache>
            </c:strRef>
          </c:tx>
          <c:spPr>
            <a:solidFill>
              <a:schemeClr val="accent1">
                <a:lumMod val="60000"/>
              </a:schemeClr>
            </a:solidFill>
            <a:ln>
              <a:noFill/>
            </a:ln>
            <a:effectLst/>
          </c:spPr>
          <c:invertIfNegative val="0"/>
          <c:cat>
            <c:strRef>
              <c:f>'Graphiques 2025'!$K$5</c:f>
              <c:strCache>
                <c:ptCount val="1"/>
                <c:pt idx="0">
                  <c:v>Résultat</c:v>
                </c:pt>
              </c:strCache>
            </c:strRef>
          </c:cat>
          <c:val>
            <c:numRef>
              <c:f>'Graphiques 2025'!$R$5</c:f>
              <c:numCache>
                <c:formatCode>General</c:formatCode>
                <c:ptCount val="1"/>
                <c:pt idx="0">
                  <c:v>281111</c:v>
                </c:pt>
              </c:numCache>
            </c:numRef>
          </c:val>
          <c:extLst>
            <c:ext xmlns:c16="http://schemas.microsoft.com/office/drawing/2014/chart" uri="{C3380CC4-5D6E-409C-BE32-E72D297353CC}">
              <c16:uniqueId val="{00000006-0E5B-439A-B313-0831AC6D20E4}"/>
            </c:ext>
          </c:extLst>
        </c:ser>
        <c:dLbls>
          <c:showLegendKey val="0"/>
          <c:showVal val="0"/>
          <c:showCatName val="0"/>
          <c:showSerName val="0"/>
          <c:showPercent val="0"/>
          <c:showBubbleSize val="0"/>
        </c:dLbls>
        <c:gapWidth val="219"/>
        <c:overlap val="-27"/>
        <c:axId val="606216152"/>
        <c:axId val="606215072"/>
      </c:barChart>
      <c:catAx>
        <c:axId val="60621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215072"/>
        <c:crosses val="autoZero"/>
        <c:auto val="1"/>
        <c:lblAlgn val="ctr"/>
        <c:lblOffset val="100"/>
        <c:noMultiLvlLbl val="0"/>
      </c:catAx>
      <c:valAx>
        <c:axId val="606215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216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Evolution des recettes 2019-2025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'Graphiques 2025'!$B$18</c:f>
              <c:strCache>
                <c:ptCount val="1"/>
                <c:pt idx="0">
                  <c:v>déc-19</c:v>
                </c:pt>
              </c:strCache>
            </c:strRef>
          </c:tx>
          <c:spPr>
            <a:solidFill>
              <a:schemeClr val="accent1"/>
            </a:solidFill>
            <a:ln>
              <a:noFill/>
            </a:ln>
            <a:effectLst/>
          </c:spPr>
          <c:invertIfNegative val="0"/>
          <c:cat>
            <c:strRef>
              <c:f>'Graphiques 2025'!$A$19</c:f>
              <c:strCache>
                <c:ptCount val="1"/>
                <c:pt idx="0">
                  <c:v>Total recettes</c:v>
                </c:pt>
              </c:strCache>
            </c:strRef>
          </c:cat>
          <c:val>
            <c:numRef>
              <c:f>'Graphiques 2025'!$B$19</c:f>
              <c:numCache>
                <c:formatCode>General</c:formatCode>
                <c:ptCount val="1"/>
                <c:pt idx="0">
                  <c:v>5214452</c:v>
                </c:pt>
              </c:numCache>
            </c:numRef>
          </c:val>
          <c:extLst>
            <c:ext xmlns:c16="http://schemas.microsoft.com/office/drawing/2014/chart" uri="{C3380CC4-5D6E-409C-BE32-E72D297353CC}">
              <c16:uniqueId val="{00000000-015F-43C4-BE2A-D4BB6CBBD65D}"/>
            </c:ext>
          </c:extLst>
        </c:ser>
        <c:ser>
          <c:idx val="1"/>
          <c:order val="1"/>
          <c:tx>
            <c:strRef>
              <c:f>'Graphiques 2025'!$C$18</c:f>
              <c:strCache>
                <c:ptCount val="1"/>
                <c:pt idx="0">
                  <c:v>déc-20</c:v>
                </c:pt>
              </c:strCache>
            </c:strRef>
          </c:tx>
          <c:spPr>
            <a:solidFill>
              <a:schemeClr val="accent2"/>
            </a:solidFill>
            <a:ln>
              <a:noFill/>
            </a:ln>
            <a:effectLst/>
          </c:spPr>
          <c:invertIfNegative val="0"/>
          <c:cat>
            <c:strRef>
              <c:f>'Graphiques 2025'!$A$19</c:f>
              <c:strCache>
                <c:ptCount val="1"/>
                <c:pt idx="0">
                  <c:v>Total recettes</c:v>
                </c:pt>
              </c:strCache>
            </c:strRef>
          </c:cat>
          <c:val>
            <c:numRef>
              <c:f>'Graphiques 2025'!$C$19</c:f>
              <c:numCache>
                <c:formatCode>General</c:formatCode>
                <c:ptCount val="1"/>
                <c:pt idx="0">
                  <c:v>3892974</c:v>
                </c:pt>
              </c:numCache>
            </c:numRef>
          </c:val>
          <c:extLst>
            <c:ext xmlns:c16="http://schemas.microsoft.com/office/drawing/2014/chart" uri="{C3380CC4-5D6E-409C-BE32-E72D297353CC}">
              <c16:uniqueId val="{00000001-015F-43C4-BE2A-D4BB6CBBD65D}"/>
            </c:ext>
          </c:extLst>
        </c:ser>
        <c:ser>
          <c:idx val="2"/>
          <c:order val="2"/>
          <c:tx>
            <c:strRef>
              <c:f>'Graphiques 2025'!$D$18</c:f>
              <c:strCache>
                <c:ptCount val="1"/>
                <c:pt idx="0">
                  <c:v>déc-21</c:v>
                </c:pt>
              </c:strCache>
            </c:strRef>
          </c:tx>
          <c:spPr>
            <a:solidFill>
              <a:schemeClr val="accent3"/>
            </a:solidFill>
            <a:ln>
              <a:noFill/>
            </a:ln>
            <a:effectLst/>
          </c:spPr>
          <c:invertIfNegative val="0"/>
          <c:cat>
            <c:strRef>
              <c:f>'Graphiques 2025'!$A$19</c:f>
              <c:strCache>
                <c:ptCount val="1"/>
                <c:pt idx="0">
                  <c:v>Total recettes</c:v>
                </c:pt>
              </c:strCache>
            </c:strRef>
          </c:cat>
          <c:val>
            <c:numRef>
              <c:f>'Graphiques 2025'!$D$19</c:f>
              <c:numCache>
                <c:formatCode>General</c:formatCode>
                <c:ptCount val="1"/>
                <c:pt idx="0">
                  <c:v>4784738</c:v>
                </c:pt>
              </c:numCache>
            </c:numRef>
          </c:val>
          <c:extLst>
            <c:ext xmlns:c16="http://schemas.microsoft.com/office/drawing/2014/chart" uri="{C3380CC4-5D6E-409C-BE32-E72D297353CC}">
              <c16:uniqueId val="{00000002-015F-43C4-BE2A-D4BB6CBBD65D}"/>
            </c:ext>
          </c:extLst>
        </c:ser>
        <c:ser>
          <c:idx val="3"/>
          <c:order val="3"/>
          <c:tx>
            <c:strRef>
              <c:f>'Graphiques 2025'!$E$18</c:f>
              <c:strCache>
                <c:ptCount val="1"/>
                <c:pt idx="0">
                  <c:v>déc-22</c:v>
                </c:pt>
              </c:strCache>
            </c:strRef>
          </c:tx>
          <c:spPr>
            <a:solidFill>
              <a:schemeClr val="accent4"/>
            </a:solidFill>
            <a:ln>
              <a:noFill/>
            </a:ln>
            <a:effectLst/>
          </c:spPr>
          <c:invertIfNegative val="0"/>
          <c:cat>
            <c:strRef>
              <c:f>'Graphiques 2025'!$A$19</c:f>
              <c:strCache>
                <c:ptCount val="1"/>
                <c:pt idx="0">
                  <c:v>Total recettes</c:v>
                </c:pt>
              </c:strCache>
            </c:strRef>
          </c:cat>
          <c:val>
            <c:numRef>
              <c:f>'Graphiques 2025'!$E$19</c:f>
              <c:numCache>
                <c:formatCode>General</c:formatCode>
                <c:ptCount val="1"/>
                <c:pt idx="0">
                  <c:v>4334268.68</c:v>
                </c:pt>
              </c:numCache>
            </c:numRef>
          </c:val>
          <c:extLst>
            <c:ext xmlns:c16="http://schemas.microsoft.com/office/drawing/2014/chart" uri="{C3380CC4-5D6E-409C-BE32-E72D297353CC}">
              <c16:uniqueId val="{00000003-015F-43C4-BE2A-D4BB6CBBD65D}"/>
            </c:ext>
          </c:extLst>
        </c:ser>
        <c:ser>
          <c:idx val="4"/>
          <c:order val="4"/>
          <c:tx>
            <c:strRef>
              <c:f>'Graphiques 2025'!$F$18</c:f>
              <c:strCache>
                <c:ptCount val="1"/>
                <c:pt idx="0">
                  <c:v>déc-23</c:v>
                </c:pt>
              </c:strCache>
            </c:strRef>
          </c:tx>
          <c:spPr>
            <a:solidFill>
              <a:schemeClr val="accent5"/>
            </a:solidFill>
            <a:ln>
              <a:noFill/>
            </a:ln>
            <a:effectLst/>
          </c:spPr>
          <c:invertIfNegative val="0"/>
          <c:cat>
            <c:strRef>
              <c:f>'Graphiques 2025'!$A$19</c:f>
              <c:strCache>
                <c:ptCount val="1"/>
                <c:pt idx="0">
                  <c:v>Total recettes</c:v>
                </c:pt>
              </c:strCache>
            </c:strRef>
          </c:cat>
          <c:val>
            <c:numRef>
              <c:f>'Graphiques 2025'!$F$19</c:f>
              <c:numCache>
                <c:formatCode>General</c:formatCode>
                <c:ptCount val="1"/>
                <c:pt idx="0">
                  <c:v>3497784.22</c:v>
                </c:pt>
              </c:numCache>
            </c:numRef>
          </c:val>
          <c:extLst>
            <c:ext xmlns:c16="http://schemas.microsoft.com/office/drawing/2014/chart" uri="{C3380CC4-5D6E-409C-BE32-E72D297353CC}">
              <c16:uniqueId val="{00000004-015F-43C4-BE2A-D4BB6CBBD65D}"/>
            </c:ext>
          </c:extLst>
        </c:ser>
        <c:ser>
          <c:idx val="5"/>
          <c:order val="5"/>
          <c:tx>
            <c:strRef>
              <c:f>'Graphiques 2025'!$G$18</c:f>
              <c:strCache>
                <c:ptCount val="1"/>
                <c:pt idx="0">
                  <c:v>déc-24</c:v>
                </c:pt>
              </c:strCache>
            </c:strRef>
          </c:tx>
          <c:spPr>
            <a:solidFill>
              <a:schemeClr val="accent6"/>
            </a:solidFill>
            <a:ln>
              <a:noFill/>
            </a:ln>
            <a:effectLst/>
          </c:spPr>
          <c:invertIfNegative val="0"/>
          <c:cat>
            <c:strRef>
              <c:f>'Graphiques 2025'!$A$19</c:f>
              <c:strCache>
                <c:ptCount val="1"/>
                <c:pt idx="0">
                  <c:v>Total recettes</c:v>
                </c:pt>
              </c:strCache>
            </c:strRef>
          </c:cat>
          <c:val>
            <c:numRef>
              <c:f>'Graphiques 2025'!$G$19</c:f>
              <c:numCache>
                <c:formatCode>General</c:formatCode>
                <c:ptCount val="1"/>
                <c:pt idx="0">
                  <c:v>2958413.51</c:v>
                </c:pt>
              </c:numCache>
            </c:numRef>
          </c:val>
          <c:extLst>
            <c:ext xmlns:c16="http://schemas.microsoft.com/office/drawing/2014/chart" uri="{C3380CC4-5D6E-409C-BE32-E72D297353CC}">
              <c16:uniqueId val="{00000005-015F-43C4-BE2A-D4BB6CBBD65D}"/>
            </c:ext>
          </c:extLst>
        </c:ser>
        <c:ser>
          <c:idx val="6"/>
          <c:order val="6"/>
          <c:tx>
            <c:strRef>
              <c:f>'Graphiques 2025'!$H$18</c:f>
              <c:strCache>
                <c:ptCount val="1"/>
                <c:pt idx="0">
                  <c:v>déc-25</c:v>
                </c:pt>
              </c:strCache>
            </c:strRef>
          </c:tx>
          <c:spPr>
            <a:solidFill>
              <a:schemeClr val="accent1">
                <a:lumMod val="60000"/>
              </a:schemeClr>
            </a:solidFill>
            <a:ln>
              <a:noFill/>
            </a:ln>
            <a:effectLst/>
          </c:spPr>
          <c:invertIfNegative val="0"/>
          <c:cat>
            <c:strRef>
              <c:f>'Graphiques 2025'!$A$19</c:f>
              <c:strCache>
                <c:ptCount val="1"/>
                <c:pt idx="0">
                  <c:v>Total recettes</c:v>
                </c:pt>
              </c:strCache>
            </c:strRef>
          </c:cat>
          <c:val>
            <c:numRef>
              <c:f>'Graphiques 2025'!$H$19</c:f>
              <c:numCache>
                <c:formatCode>General</c:formatCode>
                <c:ptCount val="1"/>
                <c:pt idx="0">
                  <c:v>4011504</c:v>
                </c:pt>
              </c:numCache>
            </c:numRef>
          </c:val>
          <c:extLst>
            <c:ext xmlns:c16="http://schemas.microsoft.com/office/drawing/2014/chart" uri="{C3380CC4-5D6E-409C-BE32-E72D297353CC}">
              <c16:uniqueId val="{00000006-015F-43C4-BE2A-D4BB6CBBD65D}"/>
            </c:ext>
          </c:extLst>
        </c:ser>
        <c:dLbls>
          <c:showLegendKey val="0"/>
          <c:showVal val="0"/>
          <c:showCatName val="0"/>
          <c:showSerName val="0"/>
          <c:showPercent val="0"/>
          <c:showBubbleSize val="0"/>
        </c:dLbls>
        <c:gapWidth val="219"/>
        <c:overlap val="-27"/>
        <c:axId val="424825072"/>
        <c:axId val="424825792"/>
      </c:barChart>
      <c:catAx>
        <c:axId val="42482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4825792"/>
        <c:crosses val="autoZero"/>
        <c:auto val="1"/>
        <c:lblAlgn val="ctr"/>
        <c:lblOffset val="100"/>
        <c:noMultiLvlLbl val="0"/>
      </c:catAx>
      <c:valAx>
        <c:axId val="424825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482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Evolution des dépenses 2019-2025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3974937390968465E-2"/>
          <c:y val="0.19049605934167826"/>
          <c:w val="0.88385779280605603"/>
          <c:h val="0.61444883714987641"/>
        </c:manualLayout>
      </c:layout>
      <c:barChart>
        <c:barDir val="col"/>
        <c:grouping val="clustered"/>
        <c:varyColors val="0"/>
        <c:ser>
          <c:idx val="0"/>
          <c:order val="0"/>
          <c:tx>
            <c:strRef>
              <c:f>'Graphiques 2025'!$B$38</c:f>
              <c:strCache>
                <c:ptCount val="1"/>
                <c:pt idx="0">
                  <c:v>déc-19</c:v>
                </c:pt>
              </c:strCache>
            </c:strRef>
          </c:tx>
          <c:spPr>
            <a:solidFill>
              <a:schemeClr val="accent1"/>
            </a:solidFill>
            <a:ln>
              <a:noFill/>
            </a:ln>
            <a:effectLst/>
          </c:spPr>
          <c:invertIfNegative val="0"/>
          <c:cat>
            <c:strRef>
              <c:f>'Graphiques 2025'!$A$39</c:f>
              <c:strCache>
                <c:ptCount val="1"/>
                <c:pt idx="0">
                  <c:v>Total dépenses</c:v>
                </c:pt>
              </c:strCache>
            </c:strRef>
          </c:cat>
          <c:val>
            <c:numRef>
              <c:f>'Graphiques 2025'!$B$39</c:f>
              <c:numCache>
                <c:formatCode>General</c:formatCode>
                <c:ptCount val="1"/>
                <c:pt idx="0">
                  <c:v>4599611</c:v>
                </c:pt>
              </c:numCache>
            </c:numRef>
          </c:val>
          <c:extLst>
            <c:ext xmlns:c16="http://schemas.microsoft.com/office/drawing/2014/chart" uri="{C3380CC4-5D6E-409C-BE32-E72D297353CC}">
              <c16:uniqueId val="{00000000-717A-4A5F-9553-BECA15752AFC}"/>
            </c:ext>
          </c:extLst>
        </c:ser>
        <c:ser>
          <c:idx val="1"/>
          <c:order val="1"/>
          <c:tx>
            <c:strRef>
              <c:f>'Graphiques 2025'!$C$38</c:f>
              <c:strCache>
                <c:ptCount val="1"/>
                <c:pt idx="0">
                  <c:v>déc-20</c:v>
                </c:pt>
              </c:strCache>
            </c:strRef>
          </c:tx>
          <c:spPr>
            <a:solidFill>
              <a:schemeClr val="accent2"/>
            </a:solidFill>
            <a:ln>
              <a:noFill/>
            </a:ln>
            <a:effectLst/>
          </c:spPr>
          <c:invertIfNegative val="0"/>
          <c:cat>
            <c:strRef>
              <c:f>'Graphiques 2025'!$A$39</c:f>
              <c:strCache>
                <c:ptCount val="1"/>
                <c:pt idx="0">
                  <c:v>Total dépenses</c:v>
                </c:pt>
              </c:strCache>
            </c:strRef>
          </c:cat>
          <c:val>
            <c:numRef>
              <c:f>'Graphiques 2025'!$C$39</c:f>
              <c:numCache>
                <c:formatCode>General</c:formatCode>
                <c:ptCount val="1"/>
                <c:pt idx="0">
                  <c:v>4405196</c:v>
                </c:pt>
              </c:numCache>
            </c:numRef>
          </c:val>
          <c:extLst>
            <c:ext xmlns:c16="http://schemas.microsoft.com/office/drawing/2014/chart" uri="{C3380CC4-5D6E-409C-BE32-E72D297353CC}">
              <c16:uniqueId val="{00000001-717A-4A5F-9553-BECA15752AFC}"/>
            </c:ext>
          </c:extLst>
        </c:ser>
        <c:ser>
          <c:idx val="2"/>
          <c:order val="2"/>
          <c:tx>
            <c:strRef>
              <c:f>'Graphiques 2025'!$D$38</c:f>
              <c:strCache>
                <c:ptCount val="1"/>
                <c:pt idx="0">
                  <c:v>déc-21</c:v>
                </c:pt>
              </c:strCache>
            </c:strRef>
          </c:tx>
          <c:spPr>
            <a:solidFill>
              <a:schemeClr val="accent3"/>
            </a:solidFill>
            <a:ln>
              <a:noFill/>
            </a:ln>
            <a:effectLst/>
          </c:spPr>
          <c:invertIfNegative val="0"/>
          <c:cat>
            <c:strRef>
              <c:f>'Graphiques 2025'!$A$39</c:f>
              <c:strCache>
                <c:ptCount val="1"/>
                <c:pt idx="0">
                  <c:v>Total dépenses</c:v>
                </c:pt>
              </c:strCache>
            </c:strRef>
          </c:cat>
          <c:val>
            <c:numRef>
              <c:f>'Graphiques 2025'!$D$39</c:f>
              <c:numCache>
                <c:formatCode>General</c:formatCode>
                <c:ptCount val="1"/>
                <c:pt idx="0">
                  <c:v>4333508</c:v>
                </c:pt>
              </c:numCache>
            </c:numRef>
          </c:val>
          <c:extLst>
            <c:ext xmlns:c16="http://schemas.microsoft.com/office/drawing/2014/chart" uri="{C3380CC4-5D6E-409C-BE32-E72D297353CC}">
              <c16:uniqueId val="{00000002-717A-4A5F-9553-BECA15752AFC}"/>
            </c:ext>
          </c:extLst>
        </c:ser>
        <c:ser>
          <c:idx val="3"/>
          <c:order val="3"/>
          <c:tx>
            <c:strRef>
              <c:f>'Graphiques 2025'!$E$38</c:f>
              <c:strCache>
                <c:ptCount val="1"/>
                <c:pt idx="0">
                  <c:v>déc-22</c:v>
                </c:pt>
              </c:strCache>
            </c:strRef>
          </c:tx>
          <c:spPr>
            <a:solidFill>
              <a:schemeClr val="accent4"/>
            </a:solidFill>
            <a:ln>
              <a:noFill/>
            </a:ln>
            <a:effectLst/>
          </c:spPr>
          <c:invertIfNegative val="0"/>
          <c:cat>
            <c:strRef>
              <c:f>'Graphiques 2025'!$A$39</c:f>
              <c:strCache>
                <c:ptCount val="1"/>
                <c:pt idx="0">
                  <c:v>Total dépenses</c:v>
                </c:pt>
              </c:strCache>
            </c:strRef>
          </c:cat>
          <c:val>
            <c:numRef>
              <c:f>'Graphiques 2025'!$E$39</c:f>
              <c:numCache>
                <c:formatCode>General</c:formatCode>
                <c:ptCount val="1"/>
                <c:pt idx="0">
                  <c:v>4057732.63</c:v>
                </c:pt>
              </c:numCache>
            </c:numRef>
          </c:val>
          <c:extLst>
            <c:ext xmlns:c16="http://schemas.microsoft.com/office/drawing/2014/chart" uri="{C3380CC4-5D6E-409C-BE32-E72D297353CC}">
              <c16:uniqueId val="{00000003-717A-4A5F-9553-BECA15752AFC}"/>
            </c:ext>
          </c:extLst>
        </c:ser>
        <c:ser>
          <c:idx val="4"/>
          <c:order val="4"/>
          <c:tx>
            <c:strRef>
              <c:f>'Graphiques 2025'!$F$38</c:f>
              <c:strCache>
                <c:ptCount val="1"/>
                <c:pt idx="0">
                  <c:v>déc-23</c:v>
                </c:pt>
              </c:strCache>
            </c:strRef>
          </c:tx>
          <c:spPr>
            <a:solidFill>
              <a:schemeClr val="accent5"/>
            </a:solidFill>
            <a:ln>
              <a:noFill/>
            </a:ln>
            <a:effectLst/>
          </c:spPr>
          <c:invertIfNegative val="0"/>
          <c:cat>
            <c:strRef>
              <c:f>'Graphiques 2025'!$A$39</c:f>
              <c:strCache>
                <c:ptCount val="1"/>
                <c:pt idx="0">
                  <c:v>Total dépenses</c:v>
                </c:pt>
              </c:strCache>
            </c:strRef>
          </c:cat>
          <c:val>
            <c:numRef>
              <c:f>'Graphiques 2025'!$F$39</c:f>
              <c:numCache>
                <c:formatCode>General</c:formatCode>
                <c:ptCount val="1"/>
                <c:pt idx="0">
                  <c:v>3897454.54</c:v>
                </c:pt>
              </c:numCache>
            </c:numRef>
          </c:val>
          <c:extLst>
            <c:ext xmlns:c16="http://schemas.microsoft.com/office/drawing/2014/chart" uri="{C3380CC4-5D6E-409C-BE32-E72D297353CC}">
              <c16:uniqueId val="{00000004-717A-4A5F-9553-BECA15752AFC}"/>
            </c:ext>
          </c:extLst>
        </c:ser>
        <c:ser>
          <c:idx val="5"/>
          <c:order val="5"/>
          <c:tx>
            <c:strRef>
              <c:f>'Graphiques 2025'!$G$38</c:f>
              <c:strCache>
                <c:ptCount val="1"/>
                <c:pt idx="0">
                  <c:v>déc-24</c:v>
                </c:pt>
              </c:strCache>
            </c:strRef>
          </c:tx>
          <c:spPr>
            <a:solidFill>
              <a:schemeClr val="accent6"/>
            </a:solidFill>
            <a:ln>
              <a:noFill/>
            </a:ln>
            <a:effectLst/>
          </c:spPr>
          <c:invertIfNegative val="0"/>
          <c:cat>
            <c:strRef>
              <c:f>'Graphiques 2025'!$A$39</c:f>
              <c:strCache>
                <c:ptCount val="1"/>
                <c:pt idx="0">
                  <c:v>Total dépenses</c:v>
                </c:pt>
              </c:strCache>
            </c:strRef>
          </c:cat>
          <c:val>
            <c:numRef>
              <c:f>'Graphiques 2025'!$G$39</c:f>
              <c:numCache>
                <c:formatCode>General</c:formatCode>
                <c:ptCount val="1"/>
                <c:pt idx="0">
                  <c:v>3572336.28</c:v>
                </c:pt>
              </c:numCache>
            </c:numRef>
          </c:val>
          <c:extLst>
            <c:ext xmlns:c16="http://schemas.microsoft.com/office/drawing/2014/chart" uri="{C3380CC4-5D6E-409C-BE32-E72D297353CC}">
              <c16:uniqueId val="{00000005-717A-4A5F-9553-BECA15752AFC}"/>
            </c:ext>
          </c:extLst>
        </c:ser>
        <c:ser>
          <c:idx val="6"/>
          <c:order val="6"/>
          <c:tx>
            <c:strRef>
              <c:f>'Graphiques 2025'!$H$38</c:f>
              <c:strCache>
                <c:ptCount val="1"/>
                <c:pt idx="0">
                  <c:v>déc-25</c:v>
                </c:pt>
              </c:strCache>
            </c:strRef>
          </c:tx>
          <c:spPr>
            <a:solidFill>
              <a:schemeClr val="accent1">
                <a:lumMod val="60000"/>
              </a:schemeClr>
            </a:solidFill>
            <a:ln>
              <a:noFill/>
            </a:ln>
            <a:effectLst/>
          </c:spPr>
          <c:invertIfNegative val="0"/>
          <c:cat>
            <c:strRef>
              <c:f>'Graphiques 2025'!$A$39</c:f>
              <c:strCache>
                <c:ptCount val="1"/>
                <c:pt idx="0">
                  <c:v>Total dépenses</c:v>
                </c:pt>
              </c:strCache>
            </c:strRef>
          </c:cat>
          <c:val>
            <c:numRef>
              <c:f>'Graphiques 2025'!$H$39</c:f>
              <c:numCache>
                <c:formatCode>General</c:formatCode>
                <c:ptCount val="1"/>
                <c:pt idx="0">
                  <c:v>3730393</c:v>
                </c:pt>
              </c:numCache>
            </c:numRef>
          </c:val>
          <c:extLst>
            <c:ext xmlns:c16="http://schemas.microsoft.com/office/drawing/2014/chart" uri="{C3380CC4-5D6E-409C-BE32-E72D297353CC}">
              <c16:uniqueId val="{00000006-717A-4A5F-9553-BECA15752AFC}"/>
            </c:ext>
          </c:extLst>
        </c:ser>
        <c:dLbls>
          <c:showLegendKey val="0"/>
          <c:showVal val="0"/>
          <c:showCatName val="0"/>
          <c:showSerName val="0"/>
          <c:showPercent val="0"/>
          <c:showBubbleSize val="0"/>
        </c:dLbls>
        <c:gapWidth val="219"/>
        <c:overlap val="-27"/>
        <c:axId val="422268288"/>
        <c:axId val="422269008"/>
      </c:barChart>
      <c:catAx>
        <c:axId val="42226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269008"/>
        <c:crosses val="autoZero"/>
        <c:auto val="1"/>
        <c:lblAlgn val="ctr"/>
        <c:lblOffset val="100"/>
        <c:noMultiLvlLbl val="0"/>
      </c:catAx>
      <c:valAx>
        <c:axId val="4222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26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Evolution du soutien aux familles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'Graphiques 2025'!$L$25</c:f>
              <c:strCache>
                <c:ptCount val="1"/>
                <c:pt idx="0">
                  <c:v>déc-19</c:v>
                </c:pt>
              </c:strCache>
            </c:strRef>
          </c:tx>
          <c:spPr>
            <a:solidFill>
              <a:schemeClr val="accent1"/>
            </a:solidFill>
            <a:ln>
              <a:noFill/>
            </a:ln>
            <a:effectLst/>
          </c:spPr>
          <c:invertIfNegative val="0"/>
          <c:cat>
            <c:strRef>
              <c:f>'Graphiques 2025'!$K$26</c:f>
              <c:strCache>
                <c:ptCount val="1"/>
                <c:pt idx="0">
                  <c:v>Total soutien familles</c:v>
                </c:pt>
              </c:strCache>
            </c:strRef>
          </c:cat>
          <c:val>
            <c:numRef>
              <c:f>'Graphiques 2025'!$L$26</c:f>
              <c:numCache>
                <c:formatCode>General</c:formatCode>
                <c:ptCount val="1"/>
                <c:pt idx="0">
                  <c:v>1616511</c:v>
                </c:pt>
              </c:numCache>
            </c:numRef>
          </c:val>
          <c:extLst>
            <c:ext xmlns:c16="http://schemas.microsoft.com/office/drawing/2014/chart" uri="{C3380CC4-5D6E-409C-BE32-E72D297353CC}">
              <c16:uniqueId val="{00000000-B642-4EF1-8839-B353C407AE90}"/>
            </c:ext>
          </c:extLst>
        </c:ser>
        <c:ser>
          <c:idx val="1"/>
          <c:order val="1"/>
          <c:tx>
            <c:strRef>
              <c:f>'Graphiques 2025'!$M$25</c:f>
              <c:strCache>
                <c:ptCount val="1"/>
                <c:pt idx="0">
                  <c:v>déc-20</c:v>
                </c:pt>
              </c:strCache>
            </c:strRef>
          </c:tx>
          <c:spPr>
            <a:solidFill>
              <a:schemeClr val="accent2"/>
            </a:solidFill>
            <a:ln>
              <a:noFill/>
            </a:ln>
            <a:effectLst/>
          </c:spPr>
          <c:invertIfNegative val="0"/>
          <c:cat>
            <c:strRef>
              <c:f>'Graphiques 2025'!$K$26</c:f>
              <c:strCache>
                <c:ptCount val="1"/>
                <c:pt idx="0">
                  <c:v>Total soutien familles</c:v>
                </c:pt>
              </c:strCache>
            </c:strRef>
          </c:cat>
          <c:val>
            <c:numRef>
              <c:f>'Graphiques 2025'!$M$26</c:f>
              <c:numCache>
                <c:formatCode>General</c:formatCode>
                <c:ptCount val="1"/>
                <c:pt idx="0">
                  <c:v>1618618</c:v>
                </c:pt>
              </c:numCache>
            </c:numRef>
          </c:val>
          <c:extLst>
            <c:ext xmlns:c16="http://schemas.microsoft.com/office/drawing/2014/chart" uri="{C3380CC4-5D6E-409C-BE32-E72D297353CC}">
              <c16:uniqueId val="{00000001-B642-4EF1-8839-B353C407AE90}"/>
            </c:ext>
          </c:extLst>
        </c:ser>
        <c:ser>
          <c:idx val="2"/>
          <c:order val="2"/>
          <c:tx>
            <c:strRef>
              <c:f>'Graphiques 2025'!$N$25</c:f>
              <c:strCache>
                <c:ptCount val="1"/>
                <c:pt idx="0">
                  <c:v>déc-21</c:v>
                </c:pt>
              </c:strCache>
            </c:strRef>
          </c:tx>
          <c:spPr>
            <a:solidFill>
              <a:schemeClr val="accent3"/>
            </a:solidFill>
            <a:ln>
              <a:noFill/>
            </a:ln>
            <a:effectLst/>
          </c:spPr>
          <c:invertIfNegative val="0"/>
          <c:cat>
            <c:strRef>
              <c:f>'Graphiques 2025'!$K$26</c:f>
              <c:strCache>
                <c:ptCount val="1"/>
                <c:pt idx="0">
                  <c:v>Total soutien familles</c:v>
                </c:pt>
              </c:strCache>
            </c:strRef>
          </c:cat>
          <c:val>
            <c:numRef>
              <c:f>'Graphiques 2025'!$N$26</c:f>
              <c:numCache>
                <c:formatCode>General</c:formatCode>
                <c:ptCount val="1"/>
                <c:pt idx="0">
                  <c:v>1388544</c:v>
                </c:pt>
              </c:numCache>
            </c:numRef>
          </c:val>
          <c:extLst>
            <c:ext xmlns:c16="http://schemas.microsoft.com/office/drawing/2014/chart" uri="{C3380CC4-5D6E-409C-BE32-E72D297353CC}">
              <c16:uniqueId val="{00000002-B642-4EF1-8839-B353C407AE90}"/>
            </c:ext>
          </c:extLst>
        </c:ser>
        <c:ser>
          <c:idx val="3"/>
          <c:order val="3"/>
          <c:tx>
            <c:strRef>
              <c:f>'Graphiques 2025'!$O$25</c:f>
              <c:strCache>
                <c:ptCount val="1"/>
                <c:pt idx="0">
                  <c:v>déc-22</c:v>
                </c:pt>
              </c:strCache>
            </c:strRef>
          </c:tx>
          <c:spPr>
            <a:solidFill>
              <a:schemeClr val="accent4"/>
            </a:solidFill>
            <a:ln>
              <a:noFill/>
            </a:ln>
            <a:effectLst/>
          </c:spPr>
          <c:invertIfNegative val="0"/>
          <c:cat>
            <c:strRef>
              <c:f>'Graphiques 2025'!$K$26</c:f>
              <c:strCache>
                <c:ptCount val="1"/>
                <c:pt idx="0">
                  <c:v>Total soutien familles</c:v>
                </c:pt>
              </c:strCache>
            </c:strRef>
          </c:cat>
          <c:val>
            <c:numRef>
              <c:f>'Graphiques 2025'!$O$26</c:f>
              <c:numCache>
                <c:formatCode>General</c:formatCode>
                <c:ptCount val="1"/>
                <c:pt idx="0">
                  <c:v>1473744.04</c:v>
                </c:pt>
              </c:numCache>
            </c:numRef>
          </c:val>
          <c:extLst>
            <c:ext xmlns:c16="http://schemas.microsoft.com/office/drawing/2014/chart" uri="{C3380CC4-5D6E-409C-BE32-E72D297353CC}">
              <c16:uniqueId val="{00000003-B642-4EF1-8839-B353C407AE90}"/>
            </c:ext>
          </c:extLst>
        </c:ser>
        <c:ser>
          <c:idx val="4"/>
          <c:order val="4"/>
          <c:tx>
            <c:strRef>
              <c:f>'Graphiques 2025'!$P$25</c:f>
              <c:strCache>
                <c:ptCount val="1"/>
                <c:pt idx="0">
                  <c:v>déc-23</c:v>
                </c:pt>
              </c:strCache>
            </c:strRef>
          </c:tx>
          <c:spPr>
            <a:solidFill>
              <a:schemeClr val="accent5"/>
            </a:solidFill>
            <a:ln>
              <a:noFill/>
            </a:ln>
            <a:effectLst/>
          </c:spPr>
          <c:invertIfNegative val="0"/>
          <c:cat>
            <c:strRef>
              <c:f>'Graphiques 2025'!$K$26</c:f>
              <c:strCache>
                <c:ptCount val="1"/>
                <c:pt idx="0">
                  <c:v>Total soutien familles</c:v>
                </c:pt>
              </c:strCache>
            </c:strRef>
          </c:cat>
          <c:val>
            <c:numRef>
              <c:f>'Graphiques 2025'!$P$26</c:f>
              <c:numCache>
                <c:formatCode>General</c:formatCode>
                <c:ptCount val="1"/>
                <c:pt idx="0">
                  <c:v>1434679.95</c:v>
                </c:pt>
              </c:numCache>
            </c:numRef>
          </c:val>
          <c:extLst>
            <c:ext xmlns:c16="http://schemas.microsoft.com/office/drawing/2014/chart" uri="{C3380CC4-5D6E-409C-BE32-E72D297353CC}">
              <c16:uniqueId val="{00000004-B642-4EF1-8839-B353C407AE90}"/>
            </c:ext>
          </c:extLst>
        </c:ser>
        <c:ser>
          <c:idx val="5"/>
          <c:order val="5"/>
          <c:tx>
            <c:strRef>
              <c:f>'Graphiques 2025'!$Q$25</c:f>
              <c:strCache>
                <c:ptCount val="1"/>
                <c:pt idx="0">
                  <c:v>déc-24</c:v>
                </c:pt>
              </c:strCache>
            </c:strRef>
          </c:tx>
          <c:spPr>
            <a:solidFill>
              <a:schemeClr val="accent6"/>
            </a:solidFill>
            <a:ln>
              <a:noFill/>
            </a:ln>
            <a:effectLst/>
          </c:spPr>
          <c:invertIfNegative val="0"/>
          <c:cat>
            <c:strRef>
              <c:f>'Graphiques 2025'!$K$26</c:f>
              <c:strCache>
                <c:ptCount val="1"/>
                <c:pt idx="0">
                  <c:v>Total soutien familles</c:v>
                </c:pt>
              </c:strCache>
            </c:strRef>
          </c:cat>
          <c:val>
            <c:numRef>
              <c:f>'Graphiques 2025'!$Q$26</c:f>
              <c:numCache>
                <c:formatCode>General</c:formatCode>
                <c:ptCount val="1"/>
                <c:pt idx="0">
                  <c:v>1392737.46</c:v>
                </c:pt>
              </c:numCache>
            </c:numRef>
          </c:val>
          <c:extLst>
            <c:ext xmlns:c16="http://schemas.microsoft.com/office/drawing/2014/chart" uri="{C3380CC4-5D6E-409C-BE32-E72D297353CC}">
              <c16:uniqueId val="{00000005-B642-4EF1-8839-B353C407AE90}"/>
            </c:ext>
          </c:extLst>
        </c:ser>
        <c:ser>
          <c:idx val="6"/>
          <c:order val="6"/>
          <c:tx>
            <c:strRef>
              <c:f>'Graphiques 2025'!$R$25</c:f>
              <c:strCache>
                <c:ptCount val="1"/>
                <c:pt idx="0">
                  <c:v>déc-25</c:v>
                </c:pt>
              </c:strCache>
            </c:strRef>
          </c:tx>
          <c:spPr>
            <a:solidFill>
              <a:schemeClr val="accent1">
                <a:lumMod val="60000"/>
              </a:schemeClr>
            </a:solidFill>
            <a:ln>
              <a:noFill/>
            </a:ln>
            <a:effectLst/>
          </c:spPr>
          <c:invertIfNegative val="0"/>
          <c:cat>
            <c:strRef>
              <c:f>'Graphiques 2025'!$K$26</c:f>
              <c:strCache>
                <c:ptCount val="1"/>
                <c:pt idx="0">
                  <c:v>Total soutien familles</c:v>
                </c:pt>
              </c:strCache>
            </c:strRef>
          </c:cat>
          <c:val>
            <c:numRef>
              <c:f>'Graphiques 2025'!$R$26</c:f>
              <c:numCache>
                <c:formatCode>General</c:formatCode>
                <c:ptCount val="1"/>
                <c:pt idx="0">
                  <c:v>1272372.92</c:v>
                </c:pt>
              </c:numCache>
            </c:numRef>
          </c:val>
          <c:extLst>
            <c:ext xmlns:c16="http://schemas.microsoft.com/office/drawing/2014/chart" uri="{C3380CC4-5D6E-409C-BE32-E72D297353CC}">
              <c16:uniqueId val="{00000006-B642-4EF1-8839-B353C407AE90}"/>
            </c:ext>
          </c:extLst>
        </c:ser>
        <c:dLbls>
          <c:showLegendKey val="0"/>
          <c:showVal val="0"/>
          <c:showCatName val="0"/>
          <c:showSerName val="0"/>
          <c:showPercent val="0"/>
          <c:showBubbleSize val="0"/>
        </c:dLbls>
        <c:gapWidth val="219"/>
        <c:overlap val="-27"/>
        <c:axId val="666951832"/>
        <c:axId val="666952912"/>
      </c:barChart>
      <c:catAx>
        <c:axId val="666951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6952912"/>
        <c:crosses val="autoZero"/>
        <c:auto val="1"/>
        <c:lblAlgn val="ctr"/>
        <c:lblOffset val="100"/>
        <c:noMultiLvlLbl val="0"/>
      </c:catAx>
      <c:valAx>
        <c:axId val="666952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6951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Evolution des dépenses de la</a:t>
            </a:r>
            <a:r>
              <a:rPr lang="fr-BE" baseline="0"/>
              <a:t> recherche scientifique</a:t>
            </a:r>
            <a:endParaRPr lang="fr-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barChart>
        <c:barDir val="col"/>
        <c:grouping val="clustered"/>
        <c:varyColors val="0"/>
        <c:ser>
          <c:idx val="0"/>
          <c:order val="0"/>
          <c:tx>
            <c:strRef>
              <c:f>'Graphiques 2025'!$L$45</c:f>
              <c:strCache>
                <c:ptCount val="1"/>
                <c:pt idx="0">
                  <c:v>déc-19</c:v>
                </c:pt>
              </c:strCache>
            </c:strRef>
          </c:tx>
          <c:spPr>
            <a:solidFill>
              <a:schemeClr val="accent1"/>
            </a:solidFill>
            <a:ln>
              <a:noFill/>
            </a:ln>
            <a:effectLst/>
          </c:spPr>
          <c:invertIfNegative val="0"/>
          <c:cat>
            <c:strRef>
              <c:f>'Graphiques 2025'!$K$46</c:f>
              <c:strCache>
                <c:ptCount val="1"/>
                <c:pt idx="0">
                  <c:v>Total sciences</c:v>
                </c:pt>
              </c:strCache>
            </c:strRef>
          </c:cat>
          <c:val>
            <c:numRef>
              <c:f>'Graphiques 2025'!$L$46</c:f>
              <c:numCache>
                <c:formatCode>General</c:formatCode>
                <c:ptCount val="1"/>
                <c:pt idx="0">
                  <c:v>644311</c:v>
                </c:pt>
              </c:numCache>
            </c:numRef>
          </c:val>
          <c:extLst>
            <c:ext xmlns:c16="http://schemas.microsoft.com/office/drawing/2014/chart" uri="{C3380CC4-5D6E-409C-BE32-E72D297353CC}">
              <c16:uniqueId val="{00000000-C13B-4180-9D49-2C25BFBE7381}"/>
            </c:ext>
          </c:extLst>
        </c:ser>
        <c:ser>
          <c:idx val="1"/>
          <c:order val="1"/>
          <c:tx>
            <c:strRef>
              <c:f>'Graphiques 2025'!$M$45</c:f>
              <c:strCache>
                <c:ptCount val="1"/>
                <c:pt idx="0">
                  <c:v>déc-20</c:v>
                </c:pt>
              </c:strCache>
            </c:strRef>
          </c:tx>
          <c:spPr>
            <a:solidFill>
              <a:schemeClr val="accent2"/>
            </a:solidFill>
            <a:ln>
              <a:noFill/>
            </a:ln>
            <a:effectLst/>
          </c:spPr>
          <c:invertIfNegative val="0"/>
          <c:cat>
            <c:strRef>
              <c:f>'Graphiques 2025'!$K$46</c:f>
              <c:strCache>
                <c:ptCount val="1"/>
                <c:pt idx="0">
                  <c:v>Total sciences</c:v>
                </c:pt>
              </c:strCache>
            </c:strRef>
          </c:cat>
          <c:val>
            <c:numRef>
              <c:f>'Graphiques 2025'!$M$46</c:f>
              <c:numCache>
                <c:formatCode>General</c:formatCode>
                <c:ptCount val="1"/>
                <c:pt idx="0">
                  <c:v>418519</c:v>
                </c:pt>
              </c:numCache>
            </c:numRef>
          </c:val>
          <c:extLst>
            <c:ext xmlns:c16="http://schemas.microsoft.com/office/drawing/2014/chart" uri="{C3380CC4-5D6E-409C-BE32-E72D297353CC}">
              <c16:uniqueId val="{00000001-C13B-4180-9D49-2C25BFBE7381}"/>
            </c:ext>
          </c:extLst>
        </c:ser>
        <c:ser>
          <c:idx val="2"/>
          <c:order val="2"/>
          <c:tx>
            <c:strRef>
              <c:f>'Graphiques 2025'!$N$45</c:f>
              <c:strCache>
                <c:ptCount val="1"/>
                <c:pt idx="0">
                  <c:v>déc-21</c:v>
                </c:pt>
              </c:strCache>
            </c:strRef>
          </c:tx>
          <c:spPr>
            <a:solidFill>
              <a:schemeClr val="accent3"/>
            </a:solidFill>
            <a:ln>
              <a:noFill/>
            </a:ln>
            <a:effectLst/>
          </c:spPr>
          <c:invertIfNegative val="0"/>
          <c:cat>
            <c:strRef>
              <c:f>'Graphiques 2025'!$K$46</c:f>
              <c:strCache>
                <c:ptCount val="1"/>
                <c:pt idx="0">
                  <c:v>Total sciences</c:v>
                </c:pt>
              </c:strCache>
            </c:strRef>
          </c:cat>
          <c:val>
            <c:numRef>
              <c:f>'Graphiques 2025'!$N$46</c:f>
              <c:numCache>
                <c:formatCode>General</c:formatCode>
                <c:ptCount val="1"/>
                <c:pt idx="0">
                  <c:v>363491</c:v>
                </c:pt>
              </c:numCache>
            </c:numRef>
          </c:val>
          <c:extLst>
            <c:ext xmlns:c16="http://schemas.microsoft.com/office/drawing/2014/chart" uri="{C3380CC4-5D6E-409C-BE32-E72D297353CC}">
              <c16:uniqueId val="{00000002-C13B-4180-9D49-2C25BFBE7381}"/>
            </c:ext>
          </c:extLst>
        </c:ser>
        <c:ser>
          <c:idx val="3"/>
          <c:order val="3"/>
          <c:tx>
            <c:strRef>
              <c:f>'Graphiques 2025'!$O$45</c:f>
              <c:strCache>
                <c:ptCount val="1"/>
                <c:pt idx="0">
                  <c:v>déc-22</c:v>
                </c:pt>
              </c:strCache>
            </c:strRef>
          </c:tx>
          <c:spPr>
            <a:solidFill>
              <a:schemeClr val="accent4"/>
            </a:solidFill>
            <a:ln>
              <a:noFill/>
            </a:ln>
            <a:effectLst/>
          </c:spPr>
          <c:invertIfNegative val="0"/>
          <c:cat>
            <c:strRef>
              <c:f>'Graphiques 2025'!$K$46</c:f>
              <c:strCache>
                <c:ptCount val="1"/>
                <c:pt idx="0">
                  <c:v>Total sciences</c:v>
                </c:pt>
              </c:strCache>
            </c:strRef>
          </c:cat>
          <c:val>
            <c:numRef>
              <c:f>'Graphiques 2025'!$O$46</c:f>
              <c:numCache>
                <c:formatCode>General</c:formatCode>
                <c:ptCount val="1"/>
                <c:pt idx="0">
                  <c:v>353054.28</c:v>
                </c:pt>
              </c:numCache>
            </c:numRef>
          </c:val>
          <c:extLst>
            <c:ext xmlns:c16="http://schemas.microsoft.com/office/drawing/2014/chart" uri="{C3380CC4-5D6E-409C-BE32-E72D297353CC}">
              <c16:uniqueId val="{00000003-C13B-4180-9D49-2C25BFBE7381}"/>
            </c:ext>
          </c:extLst>
        </c:ser>
        <c:ser>
          <c:idx val="4"/>
          <c:order val="4"/>
          <c:tx>
            <c:strRef>
              <c:f>'Graphiques 2025'!$P$45</c:f>
              <c:strCache>
                <c:ptCount val="1"/>
                <c:pt idx="0">
                  <c:v>déc-23</c:v>
                </c:pt>
              </c:strCache>
            </c:strRef>
          </c:tx>
          <c:spPr>
            <a:solidFill>
              <a:schemeClr val="accent5"/>
            </a:solidFill>
            <a:ln>
              <a:noFill/>
            </a:ln>
            <a:effectLst/>
          </c:spPr>
          <c:invertIfNegative val="0"/>
          <c:cat>
            <c:strRef>
              <c:f>'Graphiques 2025'!$K$46</c:f>
              <c:strCache>
                <c:ptCount val="1"/>
                <c:pt idx="0">
                  <c:v>Total sciences</c:v>
                </c:pt>
              </c:strCache>
            </c:strRef>
          </c:cat>
          <c:val>
            <c:numRef>
              <c:f>'Graphiques 2025'!$P$46</c:f>
              <c:numCache>
                <c:formatCode>General</c:formatCode>
                <c:ptCount val="1"/>
                <c:pt idx="0">
                  <c:v>404795.32</c:v>
                </c:pt>
              </c:numCache>
            </c:numRef>
          </c:val>
          <c:extLst>
            <c:ext xmlns:c16="http://schemas.microsoft.com/office/drawing/2014/chart" uri="{C3380CC4-5D6E-409C-BE32-E72D297353CC}">
              <c16:uniqueId val="{00000004-C13B-4180-9D49-2C25BFBE7381}"/>
            </c:ext>
          </c:extLst>
        </c:ser>
        <c:ser>
          <c:idx val="5"/>
          <c:order val="5"/>
          <c:tx>
            <c:strRef>
              <c:f>'Graphiques 2025'!$Q$45</c:f>
              <c:strCache>
                <c:ptCount val="1"/>
                <c:pt idx="0">
                  <c:v>déc-24</c:v>
                </c:pt>
              </c:strCache>
            </c:strRef>
          </c:tx>
          <c:spPr>
            <a:solidFill>
              <a:schemeClr val="accent6"/>
            </a:solidFill>
            <a:ln>
              <a:noFill/>
            </a:ln>
            <a:effectLst/>
          </c:spPr>
          <c:invertIfNegative val="0"/>
          <c:cat>
            <c:strRef>
              <c:f>'Graphiques 2025'!$K$46</c:f>
              <c:strCache>
                <c:ptCount val="1"/>
                <c:pt idx="0">
                  <c:v>Total sciences</c:v>
                </c:pt>
              </c:strCache>
            </c:strRef>
          </c:cat>
          <c:val>
            <c:numRef>
              <c:f>'Graphiques 2025'!$Q$46</c:f>
              <c:numCache>
                <c:formatCode>General</c:formatCode>
                <c:ptCount val="1"/>
                <c:pt idx="0">
                  <c:v>414805.62</c:v>
                </c:pt>
              </c:numCache>
            </c:numRef>
          </c:val>
          <c:extLst>
            <c:ext xmlns:c16="http://schemas.microsoft.com/office/drawing/2014/chart" uri="{C3380CC4-5D6E-409C-BE32-E72D297353CC}">
              <c16:uniqueId val="{00000005-C13B-4180-9D49-2C25BFBE7381}"/>
            </c:ext>
          </c:extLst>
        </c:ser>
        <c:ser>
          <c:idx val="6"/>
          <c:order val="6"/>
          <c:tx>
            <c:strRef>
              <c:f>'Graphiques 2025'!$R$45</c:f>
              <c:strCache>
                <c:ptCount val="1"/>
                <c:pt idx="0">
                  <c:v>déc-25</c:v>
                </c:pt>
              </c:strCache>
            </c:strRef>
          </c:tx>
          <c:spPr>
            <a:solidFill>
              <a:schemeClr val="accent1">
                <a:lumMod val="60000"/>
              </a:schemeClr>
            </a:solidFill>
            <a:ln>
              <a:noFill/>
            </a:ln>
            <a:effectLst/>
          </c:spPr>
          <c:invertIfNegative val="0"/>
          <c:cat>
            <c:strRef>
              <c:f>'Graphiques 2025'!$K$46</c:f>
              <c:strCache>
                <c:ptCount val="1"/>
                <c:pt idx="0">
                  <c:v>Total sciences</c:v>
                </c:pt>
              </c:strCache>
            </c:strRef>
          </c:cat>
          <c:val>
            <c:numRef>
              <c:f>'Graphiques 2025'!$R$46</c:f>
              <c:numCache>
                <c:formatCode>General</c:formatCode>
                <c:ptCount val="1"/>
                <c:pt idx="0">
                  <c:v>435237.01</c:v>
                </c:pt>
              </c:numCache>
            </c:numRef>
          </c:val>
          <c:extLst>
            <c:ext xmlns:c16="http://schemas.microsoft.com/office/drawing/2014/chart" uri="{C3380CC4-5D6E-409C-BE32-E72D297353CC}">
              <c16:uniqueId val="{00000006-C13B-4180-9D49-2C25BFBE7381}"/>
            </c:ext>
          </c:extLst>
        </c:ser>
        <c:dLbls>
          <c:showLegendKey val="0"/>
          <c:showVal val="0"/>
          <c:showCatName val="0"/>
          <c:showSerName val="0"/>
          <c:showPercent val="0"/>
          <c:showBubbleSize val="0"/>
        </c:dLbls>
        <c:gapWidth val="219"/>
        <c:overlap val="-27"/>
        <c:axId val="739799664"/>
        <c:axId val="739800384"/>
      </c:barChart>
      <c:catAx>
        <c:axId val="73979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9800384"/>
        <c:crosses val="autoZero"/>
        <c:auto val="1"/>
        <c:lblAlgn val="ctr"/>
        <c:lblOffset val="100"/>
        <c:noMultiLvlLbl val="0"/>
      </c:catAx>
      <c:valAx>
        <c:axId val="739800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979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Evolution des dépenses FRC</a:t>
            </a:r>
          </a:p>
        </c:rich>
      </c:tx>
      <c:layout>
        <c:manualLayout>
          <c:xMode val="edge"/>
          <c:yMode val="edge"/>
          <c:x val="0.37815888944958059"/>
          <c:y val="2.78940027894002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'Graphiques 2025'!$L$64</c:f>
              <c:strCache>
                <c:ptCount val="1"/>
                <c:pt idx="0">
                  <c:v>déc-19</c:v>
                </c:pt>
              </c:strCache>
            </c:strRef>
          </c:tx>
          <c:spPr>
            <a:solidFill>
              <a:schemeClr val="accent1"/>
            </a:solidFill>
            <a:ln>
              <a:noFill/>
            </a:ln>
            <a:effectLst/>
          </c:spPr>
          <c:invertIfNegative val="0"/>
          <c:cat>
            <c:strRef>
              <c:f>'Graphiques 2025'!$K$65</c:f>
              <c:strCache>
                <c:ptCount val="1"/>
                <c:pt idx="0">
                  <c:v>Total communication</c:v>
                </c:pt>
              </c:strCache>
            </c:strRef>
          </c:cat>
          <c:val>
            <c:numRef>
              <c:f>'Graphiques 2025'!$L$65</c:f>
              <c:numCache>
                <c:formatCode>General</c:formatCode>
                <c:ptCount val="1"/>
                <c:pt idx="0">
                  <c:v>1731401</c:v>
                </c:pt>
              </c:numCache>
            </c:numRef>
          </c:val>
          <c:extLst>
            <c:ext xmlns:c16="http://schemas.microsoft.com/office/drawing/2014/chart" uri="{C3380CC4-5D6E-409C-BE32-E72D297353CC}">
              <c16:uniqueId val="{00000000-06F2-4F9C-9D9F-1227096B0ACA}"/>
            </c:ext>
          </c:extLst>
        </c:ser>
        <c:ser>
          <c:idx val="1"/>
          <c:order val="1"/>
          <c:tx>
            <c:strRef>
              <c:f>'Graphiques 2025'!$M$64</c:f>
              <c:strCache>
                <c:ptCount val="1"/>
                <c:pt idx="0">
                  <c:v>déc-20</c:v>
                </c:pt>
              </c:strCache>
            </c:strRef>
          </c:tx>
          <c:spPr>
            <a:solidFill>
              <a:schemeClr val="accent2"/>
            </a:solidFill>
            <a:ln>
              <a:noFill/>
            </a:ln>
            <a:effectLst/>
          </c:spPr>
          <c:invertIfNegative val="0"/>
          <c:cat>
            <c:strRef>
              <c:f>'Graphiques 2025'!$K$65</c:f>
              <c:strCache>
                <c:ptCount val="1"/>
                <c:pt idx="0">
                  <c:v>Total communication</c:v>
                </c:pt>
              </c:strCache>
            </c:strRef>
          </c:cat>
          <c:val>
            <c:numRef>
              <c:f>'Graphiques 2025'!$M$65</c:f>
              <c:numCache>
                <c:formatCode>General</c:formatCode>
                <c:ptCount val="1"/>
                <c:pt idx="0">
                  <c:v>1901176</c:v>
                </c:pt>
              </c:numCache>
            </c:numRef>
          </c:val>
          <c:extLst>
            <c:ext xmlns:c16="http://schemas.microsoft.com/office/drawing/2014/chart" uri="{C3380CC4-5D6E-409C-BE32-E72D297353CC}">
              <c16:uniqueId val="{00000001-06F2-4F9C-9D9F-1227096B0ACA}"/>
            </c:ext>
          </c:extLst>
        </c:ser>
        <c:ser>
          <c:idx val="2"/>
          <c:order val="2"/>
          <c:tx>
            <c:strRef>
              <c:f>'Graphiques 2025'!$N$64</c:f>
              <c:strCache>
                <c:ptCount val="1"/>
                <c:pt idx="0">
                  <c:v>déc-21</c:v>
                </c:pt>
              </c:strCache>
            </c:strRef>
          </c:tx>
          <c:spPr>
            <a:solidFill>
              <a:schemeClr val="accent3"/>
            </a:solidFill>
            <a:ln>
              <a:noFill/>
            </a:ln>
            <a:effectLst/>
          </c:spPr>
          <c:invertIfNegative val="0"/>
          <c:cat>
            <c:strRef>
              <c:f>'Graphiques 2025'!$K$65</c:f>
              <c:strCache>
                <c:ptCount val="1"/>
                <c:pt idx="0">
                  <c:v>Total communication</c:v>
                </c:pt>
              </c:strCache>
            </c:strRef>
          </c:cat>
          <c:val>
            <c:numRef>
              <c:f>'Graphiques 2025'!$N$65</c:f>
              <c:numCache>
                <c:formatCode>General</c:formatCode>
                <c:ptCount val="1"/>
                <c:pt idx="0">
                  <c:v>1946626</c:v>
                </c:pt>
              </c:numCache>
            </c:numRef>
          </c:val>
          <c:extLst>
            <c:ext xmlns:c16="http://schemas.microsoft.com/office/drawing/2014/chart" uri="{C3380CC4-5D6E-409C-BE32-E72D297353CC}">
              <c16:uniqueId val="{00000002-06F2-4F9C-9D9F-1227096B0ACA}"/>
            </c:ext>
          </c:extLst>
        </c:ser>
        <c:ser>
          <c:idx val="3"/>
          <c:order val="3"/>
          <c:tx>
            <c:strRef>
              <c:f>'Graphiques 2025'!$O$64</c:f>
              <c:strCache>
                <c:ptCount val="1"/>
                <c:pt idx="0">
                  <c:v>déc-22</c:v>
                </c:pt>
              </c:strCache>
            </c:strRef>
          </c:tx>
          <c:spPr>
            <a:solidFill>
              <a:schemeClr val="accent4"/>
            </a:solidFill>
            <a:ln>
              <a:noFill/>
            </a:ln>
            <a:effectLst/>
          </c:spPr>
          <c:invertIfNegative val="0"/>
          <c:cat>
            <c:strRef>
              <c:f>'Graphiques 2025'!$K$65</c:f>
              <c:strCache>
                <c:ptCount val="1"/>
                <c:pt idx="0">
                  <c:v>Total communication</c:v>
                </c:pt>
              </c:strCache>
            </c:strRef>
          </c:cat>
          <c:val>
            <c:numRef>
              <c:f>'Graphiques 2025'!$O$65</c:f>
              <c:numCache>
                <c:formatCode>General</c:formatCode>
                <c:ptCount val="1"/>
                <c:pt idx="0">
                  <c:v>1460232.51</c:v>
                </c:pt>
              </c:numCache>
            </c:numRef>
          </c:val>
          <c:extLst>
            <c:ext xmlns:c16="http://schemas.microsoft.com/office/drawing/2014/chart" uri="{C3380CC4-5D6E-409C-BE32-E72D297353CC}">
              <c16:uniqueId val="{00000003-06F2-4F9C-9D9F-1227096B0ACA}"/>
            </c:ext>
          </c:extLst>
        </c:ser>
        <c:ser>
          <c:idx val="4"/>
          <c:order val="4"/>
          <c:tx>
            <c:strRef>
              <c:f>'Graphiques 2025'!$P$64</c:f>
              <c:strCache>
                <c:ptCount val="1"/>
                <c:pt idx="0">
                  <c:v>déc-23</c:v>
                </c:pt>
              </c:strCache>
            </c:strRef>
          </c:tx>
          <c:spPr>
            <a:solidFill>
              <a:schemeClr val="accent5"/>
            </a:solidFill>
            <a:ln>
              <a:noFill/>
            </a:ln>
            <a:effectLst/>
          </c:spPr>
          <c:invertIfNegative val="0"/>
          <c:cat>
            <c:strRef>
              <c:f>'Graphiques 2025'!$K$65</c:f>
              <c:strCache>
                <c:ptCount val="1"/>
                <c:pt idx="0">
                  <c:v>Total communication</c:v>
                </c:pt>
              </c:strCache>
            </c:strRef>
          </c:cat>
          <c:val>
            <c:numRef>
              <c:f>'Graphiques 2025'!$P$65</c:f>
              <c:numCache>
                <c:formatCode>General</c:formatCode>
                <c:ptCount val="1"/>
                <c:pt idx="0">
                  <c:v>1331910.3999999999</c:v>
                </c:pt>
              </c:numCache>
            </c:numRef>
          </c:val>
          <c:extLst>
            <c:ext xmlns:c16="http://schemas.microsoft.com/office/drawing/2014/chart" uri="{C3380CC4-5D6E-409C-BE32-E72D297353CC}">
              <c16:uniqueId val="{00000004-06F2-4F9C-9D9F-1227096B0ACA}"/>
            </c:ext>
          </c:extLst>
        </c:ser>
        <c:ser>
          <c:idx val="5"/>
          <c:order val="5"/>
          <c:tx>
            <c:strRef>
              <c:f>'Graphiques 2025'!$Q$64</c:f>
              <c:strCache>
                <c:ptCount val="1"/>
                <c:pt idx="0">
                  <c:v>déc-24</c:v>
                </c:pt>
              </c:strCache>
            </c:strRef>
          </c:tx>
          <c:spPr>
            <a:solidFill>
              <a:schemeClr val="accent6"/>
            </a:solidFill>
            <a:ln>
              <a:noFill/>
            </a:ln>
            <a:effectLst/>
          </c:spPr>
          <c:invertIfNegative val="0"/>
          <c:cat>
            <c:strRef>
              <c:f>'Graphiques 2025'!$K$65</c:f>
              <c:strCache>
                <c:ptCount val="1"/>
                <c:pt idx="0">
                  <c:v>Total communication</c:v>
                </c:pt>
              </c:strCache>
            </c:strRef>
          </c:cat>
          <c:val>
            <c:numRef>
              <c:f>'Graphiques 2025'!$Q$65</c:f>
              <c:numCache>
                <c:formatCode>General</c:formatCode>
                <c:ptCount val="1"/>
                <c:pt idx="0">
                  <c:v>1116580</c:v>
                </c:pt>
              </c:numCache>
            </c:numRef>
          </c:val>
          <c:extLst>
            <c:ext xmlns:c16="http://schemas.microsoft.com/office/drawing/2014/chart" uri="{C3380CC4-5D6E-409C-BE32-E72D297353CC}">
              <c16:uniqueId val="{00000005-06F2-4F9C-9D9F-1227096B0ACA}"/>
            </c:ext>
          </c:extLst>
        </c:ser>
        <c:ser>
          <c:idx val="6"/>
          <c:order val="6"/>
          <c:tx>
            <c:strRef>
              <c:f>'Graphiques 2025'!$R$64</c:f>
              <c:strCache>
                <c:ptCount val="1"/>
                <c:pt idx="0">
                  <c:v>déc-25</c:v>
                </c:pt>
              </c:strCache>
            </c:strRef>
          </c:tx>
          <c:spPr>
            <a:solidFill>
              <a:schemeClr val="accent1">
                <a:lumMod val="60000"/>
              </a:schemeClr>
            </a:solidFill>
            <a:ln>
              <a:noFill/>
            </a:ln>
            <a:effectLst/>
          </c:spPr>
          <c:invertIfNegative val="0"/>
          <c:cat>
            <c:strRef>
              <c:f>'Graphiques 2025'!$K$65</c:f>
              <c:strCache>
                <c:ptCount val="1"/>
                <c:pt idx="0">
                  <c:v>Total communication</c:v>
                </c:pt>
              </c:strCache>
            </c:strRef>
          </c:cat>
          <c:val>
            <c:numRef>
              <c:f>'Graphiques 2025'!$R$65</c:f>
              <c:numCache>
                <c:formatCode>General</c:formatCode>
                <c:ptCount val="1"/>
                <c:pt idx="0">
                  <c:v>1412609.23</c:v>
                </c:pt>
              </c:numCache>
            </c:numRef>
          </c:val>
          <c:extLst>
            <c:ext xmlns:c16="http://schemas.microsoft.com/office/drawing/2014/chart" uri="{C3380CC4-5D6E-409C-BE32-E72D297353CC}">
              <c16:uniqueId val="{00000006-06F2-4F9C-9D9F-1227096B0ACA}"/>
            </c:ext>
          </c:extLst>
        </c:ser>
        <c:dLbls>
          <c:showLegendKey val="0"/>
          <c:showVal val="0"/>
          <c:showCatName val="0"/>
          <c:showSerName val="0"/>
          <c:showPercent val="0"/>
          <c:showBubbleSize val="0"/>
        </c:dLbls>
        <c:gapWidth val="219"/>
        <c:overlap val="-27"/>
        <c:axId val="996644640"/>
        <c:axId val="996638880"/>
      </c:barChart>
      <c:catAx>
        <c:axId val="99664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96638880"/>
        <c:crosses val="autoZero"/>
        <c:auto val="1"/>
        <c:lblAlgn val="ctr"/>
        <c:lblOffset val="100"/>
        <c:noMultiLvlLbl val="0"/>
      </c:catAx>
      <c:valAx>
        <c:axId val="996638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96644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Evolution</a:t>
            </a:r>
            <a:r>
              <a:rPr lang="fr-BE" baseline="0"/>
              <a:t> des frais généraux</a:t>
            </a:r>
            <a:endParaRPr lang="fr-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barChart>
        <c:barDir val="col"/>
        <c:grouping val="clustered"/>
        <c:varyColors val="0"/>
        <c:ser>
          <c:idx val="0"/>
          <c:order val="0"/>
          <c:tx>
            <c:strRef>
              <c:f>'Graphiques 2025'!$B$58</c:f>
              <c:strCache>
                <c:ptCount val="1"/>
                <c:pt idx="0">
                  <c:v>déc-19</c:v>
                </c:pt>
              </c:strCache>
            </c:strRef>
          </c:tx>
          <c:spPr>
            <a:solidFill>
              <a:schemeClr val="accent1"/>
            </a:solidFill>
            <a:ln>
              <a:noFill/>
            </a:ln>
            <a:effectLst/>
          </c:spPr>
          <c:invertIfNegative val="0"/>
          <c:cat>
            <c:strRef>
              <c:f>'Graphiques 2025'!$A$59</c:f>
              <c:strCache>
                <c:ptCount val="1"/>
                <c:pt idx="0">
                  <c:v>Total frais generaux</c:v>
                </c:pt>
              </c:strCache>
            </c:strRef>
          </c:cat>
          <c:val>
            <c:numRef>
              <c:f>'Graphiques 2025'!$B$59</c:f>
              <c:numCache>
                <c:formatCode>General</c:formatCode>
                <c:ptCount val="1"/>
                <c:pt idx="0">
                  <c:v>607388</c:v>
                </c:pt>
              </c:numCache>
            </c:numRef>
          </c:val>
          <c:extLst>
            <c:ext xmlns:c16="http://schemas.microsoft.com/office/drawing/2014/chart" uri="{C3380CC4-5D6E-409C-BE32-E72D297353CC}">
              <c16:uniqueId val="{00000000-2538-49DD-9851-B1122AC84BAD}"/>
            </c:ext>
          </c:extLst>
        </c:ser>
        <c:ser>
          <c:idx val="1"/>
          <c:order val="1"/>
          <c:tx>
            <c:strRef>
              <c:f>'Graphiques 2025'!$C$58</c:f>
              <c:strCache>
                <c:ptCount val="1"/>
                <c:pt idx="0">
                  <c:v>déc-20</c:v>
                </c:pt>
              </c:strCache>
            </c:strRef>
          </c:tx>
          <c:spPr>
            <a:solidFill>
              <a:schemeClr val="accent2"/>
            </a:solidFill>
            <a:ln>
              <a:noFill/>
            </a:ln>
            <a:effectLst/>
          </c:spPr>
          <c:invertIfNegative val="0"/>
          <c:cat>
            <c:strRef>
              <c:f>'Graphiques 2025'!$A$59</c:f>
              <c:strCache>
                <c:ptCount val="1"/>
                <c:pt idx="0">
                  <c:v>Total frais generaux</c:v>
                </c:pt>
              </c:strCache>
            </c:strRef>
          </c:cat>
          <c:val>
            <c:numRef>
              <c:f>'Graphiques 2025'!$C$59</c:f>
              <c:numCache>
                <c:formatCode>General</c:formatCode>
                <c:ptCount val="1"/>
                <c:pt idx="0">
                  <c:v>466883</c:v>
                </c:pt>
              </c:numCache>
            </c:numRef>
          </c:val>
          <c:extLst>
            <c:ext xmlns:c16="http://schemas.microsoft.com/office/drawing/2014/chart" uri="{C3380CC4-5D6E-409C-BE32-E72D297353CC}">
              <c16:uniqueId val="{00000001-2538-49DD-9851-B1122AC84BAD}"/>
            </c:ext>
          </c:extLst>
        </c:ser>
        <c:ser>
          <c:idx val="2"/>
          <c:order val="2"/>
          <c:tx>
            <c:strRef>
              <c:f>'Graphiques 2025'!$D$58</c:f>
              <c:strCache>
                <c:ptCount val="1"/>
                <c:pt idx="0">
                  <c:v>déc-21</c:v>
                </c:pt>
              </c:strCache>
            </c:strRef>
          </c:tx>
          <c:spPr>
            <a:solidFill>
              <a:schemeClr val="accent3"/>
            </a:solidFill>
            <a:ln>
              <a:noFill/>
            </a:ln>
            <a:effectLst/>
          </c:spPr>
          <c:invertIfNegative val="0"/>
          <c:cat>
            <c:strRef>
              <c:f>'Graphiques 2025'!$A$59</c:f>
              <c:strCache>
                <c:ptCount val="1"/>
                <c:pt idx="0">
                  <c:v>Total frais generaux</c:v>
                </c:pt>
              </c:strCache>
            </c:strRef>
          </c:cat>
          <c:val>
            <c:numRef>
              <c:f>'Graphiques 2025'!$D$59</c:f>
              <c:numCache>
                <c:formatCode>General</c:formatCode>
                <c:ptCount val="1"/>
                <c:pt idx="0">
                  <c:v>634847</c:v>
                </c:pt>
              </c:numCache>
            </c:numRef>
          </c:val>
          <c:extLst>
            <c:ext xmlns:c16="http://schemas.microsoft.com/office/drawing/2014/chart" uri="{C3380CC4-5D6E-409C-BE32-E72D297353CC}">
              <c16:uniqueId val="{00000002-2538-49DD-9851-B1122AC84BAD}"/>
            </c:ext>
          </c:extLst>
        </c:ser>
        <c:ser>
          <c:idx val="3"/>
          <c:order val="3"/>
          <c:tx>
            <c:strRef>
              <c:f>'Graphiques 2025'!$E$58</c:f>
              <c:strCache>
                <c:ptCount val="1"/>
                <c:pt idx="0">
                  <c:v>déc-22</c:v>
                </c:pt>
              </c:strCache>
            </c:strRef>
          </c:tx>
          <c:spPr>
            <a:solidFill>
              <a:schemeClr val="accent4"/>
            </a:solidFill>
            <a:ln>
              <a:noFill/>
            </a:ln>
            <a:effectLst/>
          </c:spPr>
          <c:invertIfNegative val="0"/>
          <c:cat>
            <c:strRef>
              <c:f>'Graphiques 2025'!$A$59</c:f>
              <c:strCache>
                <c:ptCount val="1"/>
                <c:pt idx="0">
                  <c:v>Total frais generaux</c:v>
                </c:pt>
              </c:strCache>
            </c:strRef>
          </c:cat>
          <c:val>
            <c:numRef>
              <c:f>'Graphiques 2025'!$E$59</c:f>
              <c:numCache>
                <c:formatCode>General</c:formatCode>
                <c:ptCount val="1"/>
                <c:pt idx="0">
                  <c:v>770701.8</c:v>
                </c:pt>
              </c:numCache>
            </c:numRef>
          </c:val>
          <c:extLst>
            <c:ext xmlns:c16="http://schemas.microsoft.com/office/drawing/2014/chart" uri="{C3380CC4-5D6E-409C-BE32-E72D297353CC}">
              <c16:uniqueId val="{00000003-2538-49DD-9851-B1122AC84BAD}"/>
            </c:ext>
          </c:extLst>
        </c:ser>
        <c:ser>
          <c:idx val="4"/>
          <c:order val="4"/>
          <c:tx>
            <c:strRef>
              <c:f>'Graphiques 2025'!$F$58</c:f>
              <c:strCache>
                <c:ptCount val="1"/>
                <c:pt idx="0">
                  <c:v>déc-23</c:v>
                </c:pt>
              </c:strCache>
            </c:strRef>
          </c:tx>
          <c:spPr>
            <a:solidFill>
              <a:schemeClr val="accent5"/>
            </a:solidFill>
            <a:ln>
              <a:noFill/>
            </a:ln>
            <a:effectLst/>
          </c:spPr>
          <c:invertIfNegative val="0"/>
          <c:cat>
            <c:strRef>
              <c:f>'Graphiques 2025'!$A$59</c:f>
              <c:strCache>
                <c:ptCount val="1"/>
                <c:pt idx="0">
                  <c:v>Total frais generaux</c:v>
                </c:pt>
              </c:strCache>
            </c:strRef>
          </c:cat>
          <c:val>
            <c:numRef>
              <c:f>'Graphiques 2025'!$F$59</c:f>
              <c:numCache>
                <c:formatCode>General</c:formatCode>
                <c:ptCount val="1"/>
                <c:pt idx="0">
                  <c:v>726068.87</c:v>
                </c:pt>
              </c:numCache>
            </c:numRef>
          </c:val>
          <c:extLst>
            <c:ext xmlns:c16="http://schemas.microsoft.com/office/drawing/2014/chart" uri="{C3380CC4-5D6E-409C-BE32-E72D297353CC}">
              <c16:uniqueId val="{00000004-2538-49DD-9851-B1122AC84BAD}"/>
            </c:ext>
          </c:extLst>
        </c:ser>
        <c:ser>
          <c:idx val="5"/>
          <c:order val="5"/>
          <c:tx>
            <c:strRef>
              <c:f>'Graphiques 2025'!$G$58</c:f>
              <c:strCache>
                <c:ptCount val="1"/>
                <c:pt idx="0">
                  <c:v>déc-24</c:v>
                </c:pt>
              </c:strCache>
            </c:strRef>
          </c:tx>
          <c:spPr>
            <a:solidFill>
              <a:schemeClr val="accent6"/>
            </a:solidFill>
            <a:ln>
              <a:noFill/>
            </a:ln>
            <a:effectLst/>
          </c:spPr>
          <c:invertIfNegative val="0"/>
          <c:cat>
            <c:strRef>
              <c:f>'Graphiques 2025'!$A$59</c:f>
              <c:strCache>
                <c:ptCount val="1"/>
                <c:pt idx="0">
                  <c:v>Total frais generaux</c:v>
                </c:pt>
              </c:strCache>
            </c:strRef>
          </c:cat>
          <c:val>
            <c:numRef>
              <c:f>'Graphiques 2025'!$G$59</c:f>
              <c:numCache>
                <c:formatCode>General</c:formatCode>
                <c:ptCount val="1"/>
                <c:pt idx="0">
                  <c:v>648213.19999999995</c:v>
                </c:pt>
              </c:numCache>
            </c:numRef>
          </c:val>
          <c:extLst>
            <c:ext xmlns:c16="http://schemas.microsoft.com/office/drawing/2014/chart" uri="{C3380CC4-5D6E-409C-BE32-E72D297353CC}">
              <c16:uniqueId val="{00000005-2538-49DD-9851-B1122AC84BAD}"/>
            </c:ext>
          </c:extLst>
        </c:ser>
        <c:ser>
          <c:idx val="6"/>
          <c:order val="6"/>
          <c:tx>
            <c:strRef>
              <c:f>'Graphiques 2025'!$H$58</c:f>
              <c:strCache>
                <c:ptCount val="1"/>
                <c:pt idx="0">
                  <c:v>déc-25</c:v>
                </c:pt>
              </c:strCache>
            </c:strRef>
          </c:tx>
          <c:spPr>
            <a:solidFill>
              <a:schemeClr val="accent1">
                <a:lumMod val="60000"/>
              </a:schemeClr>
            </a:solidFill>
            <a:ln>
              <a:noFill/>
            </a:ln>
            <a:effectLst/>
          </c:spPr>
          <c:invertIfNegative val="0"/>
          <c:cat>
            <c:strRef>
              <c:f>'Graphiques 2025'!$A$59</c:f>
              <c:strCache>
                <c:ptCount val="1"/>
                <c:pt idx="0">
                  <c:v>Total frais generaux</c:v>
                </c:pt>
              </c:strCache>
            </c:strRef>
          </c:cat>
          <c:val>
            <c:numRef>
              <c:f>'Graphiques 2025'!$H$59</c:f>
              <c:numCache>
                <c:formatCode>General</c:formatCode>
                <c:ptCount val="1"/>
                <c:pt idx="0">
                  <c:v>647324.91</c:v>
                </c:pt>
              </c:numCache>
            </c:numRef>
          </c:val>
          <c:extLst>
            <c:ext xmlns:c16="http://schemas.microsoft.com/office/drawing/2014/chart" uri="{C3380CC4-5D6E-409C-BE32-E72D297353CC}">
              <c16:uniqueId val="{00000006-2538-49DD-9851-B1122AC84BAD}"/>
            </c:ext>
          </c:extLst>
        </c:ser>
        <c:dLbls>
          <c:showLegendKey val="0"/>
          <c:showVal val="0"/>
          <c:showCatName val="0"/>
          <c:showSerName val="0"/>
          <c:showPercent val="0"/>
          <c:showBubbleSize val="0"/>
        </c:dLbls>
        <c:gapWidth val="219"/>
        <c:overlap val="-27"/>
        <c:axId val="847746168"/>
        <c:axId val="847755528"/>
      </c:barChart>
      <c:catAx>
        <c:axId val="847746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47755528"/>
        <c:crosses val="autoZero"/>
        <c:auto val="1"/>
        <c:lblAlgn val="ctr"/>
        <c:lblOffset val="100"/>
        <c:noMultiLvlLbl val="0"/>
      </c:catAx>
      <c:valAx>
        <c:axId val="847755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47746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BE"/>
              <a:t>Répartition des dépenses  2025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41A-4F80-A08A-281C0D17EF5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41A-4F80-A08A-281C0D17EF5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41A-4F80-A08A-281C0D17EF5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41A-4F80-A08A-281C0D17EF5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'Graphiques 2025'!$A$83:$A$86</c:f>
              <c:strCache>
                <c:ptCount val="4"/>
                <c:pt idx="0">
                  <c:v>Total soutien familles</c:v>
                </c:pt>
                <c:pt idx="1">
                  <c:v>Total sciences</c:v>
                </c:pt>
                <c:pt idx="2">
                  <c:v>Total communication</c:v>
                </c:pt>
                <c:pt idx="3">
                  <c:v>Total frais generaux</c:v>
                </c:pt>
              </c:strCache>
            </c:strRef>
          </c:cat>
          <c:val>
            <c:numRef>
              <c:f>'Graphiques 2025'!$B$83:$B$86</c:f>
              <c:numCache>
                <c:formatCode>General</c:formatCode>
                <c:ptCount val="4"/>
                <c:pt idx="0">
                  <c:v>1269474</c:v>
                </c:pt>
                <c:pt idx="1">
                  <c:v>451387</c:v>
                </c:pt>
                <c:pt idx="2">
                  <c:v>1370339</c:v>
                </c:pt>
                <c:pt idx="3">
                  <c:v>639193</c:v>
                </c:pt>
              </c:numCache>
            </c:numRef>
          </c:val>
          <c:extLst>
            <c:ext xmlns:c16="http://schemas.microsoft.com/office/drawing/2014/chart" uri="{C3380CC4-5D6E-409C-BE32-E72D297353CC}">
              <c16:uniqueId val="{00000000-388A-47BC-9481-39029C38A0D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BE"/>
              <a:t>Répartition des recettes 2025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pieChart>
        <c:varyColors val="1"/>
        <c:ser>
          <c:idx val="0"/>
          <c:order val="0"/>
          <c:dPt>
            <c:idx val="0"/>
            <c:bubble3D val="0"/>
            <c:explosion val="3"/>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E06-4954-8C65-D39F7A1FC3E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920-4D89-A330-B21538CA583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920-4D89-A330-B21538CA583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920-4D89-A330-B21538CA583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'Graphiques 2025'!$K$83:$K$86</c:f>
              <c:strCache>
                <c:ptCount val="4"/>
                <c:pt idx="0">
                  <c:v>Total dons</c:v>
                </c:pt>
                <c:pt idx="1">
                  <c:v>Legs</c:v>
                </c:pt>
                <c:pt idx="2">
                  <c:v>Actions </c:v>
                </c:pt>
                <c:pt idx="3">
                  <c:v>Autres</c:v>
                </c:pt>
              </c:strCache>
            </c:strRef>
          </c:cat>
          <c:val>
            <c:numRef>
              <c:f>'Graphiques 2025'!$L$83:$L$86</c:f>
              <c:numCache>
                <c:formatCode>General</c:formatCode>
                <c:ptCount val="4"/>
                <c:pt idx="0">
                  <c:v>1791011</c:v>
                </c:pt>
                <c:pt idx="1">
                  <c:v>785461</c:v>
                </c:pt>
                <c:pt idx="2">
                  <c:v>357235</c:v>
                </c:pt>
                <c:pt idx="3">
                  <c:v>1077797</c:v>
                </c:pt>
              </c:numCache>
            </c:numRef>
          </c:val>
          <c:extLst>
            <c:ext xmlns:c16="http://schemas.microsoft.com/office/drawing/2014/chart" uri="{C3380CC4-5D6E-409C-BE32-E72D297353CC}">
              <c16:uniqueId val="{00000000-4E06-4954-8C65-D39F7A1FC3E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771525</xdr:colOff>
      <xdr:row>7</xdr:row>
      <xdr:rowOff>123825</xdr:rowOff>
    </xdr:from>
    <xdr:to>
      <xdr:col>17</xdr:col>
      <xdr:colOff>750570</xdr:colOff>
      <xdr:row>22</xdr:row>
      <xdr:rowOff>149542</xdr:rowOff>
    </xdr:to>
    <xdr:graphicFrame macro="">
      <xdr:nvGraphicFramePr>
        <xdr:cNvPr id="3" name="Graphique 2">
          <a:extLst>
            <a:ext uri="{FF2B5EF4-FFF2-40B4-BE49-F238E27FC236}">
              <a16:creationId xmlns:a16="http://schemas.microsoft.com/office/drawing/2014/main" id="{693214CC-8492-0AEA-3CB5-23BE93A647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504825</xdr:colOff>
      <xdr:row>20</xdr:row>
      <xdr:rowOff>50482</xdr:rowOff>
    </xdr:from>
    <xdr:to>
      <xdr:col>8</xdr:col>
      <xdr:colOff>9525</xdr:colOff>
      <xdr:row>35</xdr:row>
      <xdr:rowOff>77152</xdr:rowOff>
    </xdr:to>
    <xdr:graphicFrame macro="">
      <xdr:nvGraphicFramePr>
        <xdr:cNvPr id="4" name="Graphique 3">
          <a:extLst>
            <a:ext uri="{FF2B5EF4-FFF2-40B4-BE49-F238E27FC236}">
              <a16:creationId xmlns:a16="http://schemas.microsoft.com/office/drawing/2014/main" id="{50EB6E88-1B3B-D67D-1878-3C00BD4112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588645</xdr:colOff>
      <xdr:row>40</xdr:row>
      <xdr:rowOff>134302</xdr:rowOff>
    </xdr:from>
    <xdr:to>
      <xdr:col>8</xdr:col>
      <xdr:colOff>9525</xdr:colOff>
      <xdr:row>55</xdr:row>
      <xdr:rowOff>159067</xdr:rowOff>
    </xdr:to>
    <xdr:graphicFrame macro="">
      <xdr:nvGraphicFramePr>
        <xdr:cNvPr id="6" name="Graphique 5">
          <a:extLst>
            <a:ext uri="{FF2B5EF4-FFF2-40B4-BE49-F238E27FC236}">
              <a16:creationId xmlns:a16="http://schemas.microsoft.com/office/drawing/2014/main" id="{F70244C7-3180-A687-CCEE-83D7667373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786765</xdr:colOff>
      <xdr:row>27</xdr:row>
      <xdr:rowOff>86677</xdr:rowOff>
    </xdr:from>
    <xdr:to>
      <xdr:col>17</xdr:col>
      <xdr:colOff>771525</xdr:colOff>
      <xdr:row>42</xdr:row>
      <xdr:rowOff>111442</xdr:rowOff>
    </xdr:to>
    <xdr:graphicFrame macro="">
      <xdr:nvGraphicFramePr>
        <xdr:cNvPr id="5" name="Graphique 4">
          <a:extLst>
            <a:ext uri="{FF2B5EF4-FFF2-40B4-BE49-F238E27FC236}">
              <a16:creationId xmlns:a16="http://schemas.microsoft.com/office/drawing/2014/main" id="{03D4F552-F476-13C1-5B14-CAC9F1E13F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24765</xdr:colOff>
      <xdr:row>46</xdr:row>
      <xdr:rowOff>174307</xdr:rowOff>
    </xdr:from>
    <xdr:to>
      <xdr:col>17</xdr:col>
      <xdr:colOff>781050</xdr:colOff>
      <xdr:row>62</xdr:row>
      <xdr:rowOff>20002</xdr:rowOff>
    </xdr:to>
    <xdr:graphicFrame macro="">
      <xdr:nvGraphicFramePr>
        <xdr:cNvPr id="7" name="Graphique 6">
          <a:extLst>
            <a:ext uri="{FF2B5EF4-FFF2-40B4-BE49-F238E27FC236}">
              <a16:creationId xmlns:a16="http://schemas.microsoft.com/office/drawing/2014/main" id="{76436F8A-D629-580A-0988-F2858037B6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17144</xdr:colOff>
      <xdr:row>66</xdr:row>
      <xdr:rowOff>16192</xdr:rowOff>
    </xdr:from>
    <xdr:to>
      <xdr:col>17</xdr:col>
      <xdr:colOff>790574</xdr:colOff>
      <xdr:row>81</xdr:row>
      <xdr:rowOff>37147</xdr:rowOff>
    </xdr:to>
    <xdr:graphicFrame macro="">
      <xdr:nvGraphicFramePr>
        <xdr:cNvPr id="8" name="Graphique 7">
          <a:extLst>
            <a:ext uri="{FF2B5EF4-FFF2-40B4-BE49-F238E27FC236}">
              <a16:creationId xmlns:a16="http://schemas.microsoft.com/office/drawing/2014/main" id="{BD8A77CE-73CC-5096-1769-7693B86C19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830579</xdr:colOff>
      <xdr:row>61</xdr:row>
      <xdr:rowOff>155257</xdr:rowOff>
    </xdr:from>
    <xdr:to>
      <xdr:col>8</xdr:col>
      <xdr:colOff>72390</xdr:colOff>
      <xdr:row>78</xdr:row>
      <xdr:rowOff>133350</xdr:rowOff>
    </xdr:to>
    <xdr:graphicFrame macro="">
      <xdr:nvGraphicFramePr>
        <xdr:cNvPr id="9" name="Graphique 8">
          <a:extLst>
            <a:ext uri="{FF2B5EF4-FFF2-40B4-BE49-F238E27FC236}">
              <a16:creationId xmlns:a16="http://schemas.microsoft.com/office/drawing/2014/main" id="{0FBA25C2-A29B-23B2-DB9B-552CBCB85F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323849</xdr:colOff>
      <xdr:row>86</xdr:row>
      <xdr:rowOff>174307</xdr:rowOff>
    </xdr:from>
    <xdr:to>
      <xdr:col>8</xdr:col>
      <xdr:colOff>278129</xdr:colOff>
      <xdr:row>104</xdr:row>
      <xdr:rowOff>47625</xdr:rowOff>
    </xdr:to>
    <xdr:graphicFrame macro="">
      <xdr:nvGraphicFramePr>
        <xdr:cNvPr id="2" name="Graphique 1">
          <a:extLst>
            <a:ext uri="{FF2B5EF4-FFF2-40B4-BE49-F238E27FC236}">
              <a16:creationId xmlns:a16="http://schemas.microsoft.com/office/drawing/2014/main" id="{6B603A62-BB2C-04C3-CDAC-7389328583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38100</xdr:colOff>
      <xdr:row>86</xdr:row>
      <xdr:rowOff>167641</xdr:rowOff>
    </xdr:from>
    <xdr:to>
      <xdr:col>17</xdr:col>
      <xdr:colOff>24765</xdr:colOff>
      <xdr:row>104</xdr:row>
      <xdr:rowOff>19051</xdr:rowOff>
    </xdr:to>
    <xdr:graphicFrame macro="">
      <xdr:nvGraphicFramePr>
        <xdr:cNvPr id="11" name="Graphique 10">
          <a:extLst>
            <a:ext uri="{FF2B5EF4-FFF2-40B4-BE49-F238E27FC236}">
              <a16:creationId xmlns:a16="http://schemas.microsoft.com/office/drawing/2014/main" id="{A9BDD014-B834-B13E-6256-29E290DB2C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pascalborrey" id="{BE0EDE69-B115-49B4-B350-DFCFB491FDAB}" userId="S::pascalborrey_yahoo.fr#ext#@mucoasbl.onmicrosoft.com::9679b911-42e1-4f57-bac3-de3f63bda142"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4-03-21T10:47:35.48" personId="{BE0EDE69-B115-49B4-B350-DFCFB491FDAB}" id="{4B257F7C-3ACA-401E-A6CF-03EB7D946D0E}">
    <text>277.201</text>
  </threadedComment>
  <threadedComment ref="E12" dT="2024-03-21T10:50:56.15" personId="{BE0EDE69-B115-49B4-B350-DFCFB491FDAB}" id="{F52A2D24-5A01-482E-A33C-FE8E3287BBDA}">
    <text>185009</text>
  </threadedComment>
  <threadedComment ref="E17" dT="2024-03-21T10:53:40.08" personId="{BE0EDE69-B115-49B4-B350-DFCFB491FDAB}" id="{D02C39A4-CC69-4710-B317-67D15BC142C8}">
    <text>17624</text>
  </threadedComment>
  <threadedComment ref="F17" dT="2024-03-21T10:53:52.36" personId="{BE0EDE69-B115-49B4-B350-DFCFB491FDAB}" id="{927FC5FC-3BBE-485C-A067-4CF1CFE101CF}">
    <text>16279</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E1A4-0565-48BE-B727-11A94D331023}">
  <sheetPr>
    <pageSetUpPr fitToPage="1"/>
  </sheetPr>
  <dimension ref="A1:N72"/>
  <sheetViews>
    <sheetView tabSelected="1" topLeftCell="D1" zoomScale="122" zoomScaleNormal="122" workbookViewId="0">
      <pane ySplit="1" topLeftCell="A63" activePane="bottomLeft" state="frozen"/>
      <selection pane="bottomLeft" activeCell="H78" sqref="H78"/>
    </sheetView>
  </sheetViews>
  <sheetFormatPr baseColWidth="10" defaultColWidth="8.88671875" defaultRowHeight="14.4" x14ac:dyDescent="0.3"/>
  <cols>
    <col min="1" max="1" width="50.44140625" customWidth="1"/>
    <col min="2" max="3" width="10.21875" bestFit="1" customWidth="1"/>
    <col min="4" max="5" width="10" bestFit="1" customWidth="1"/>
    <col min="6" max="6" width="11" customWidth="1"/>
    <col min="7" max="8" width="10" bestFit="1" customWidth="1"/>
    <col min="9" max="9" width="13.77734375" bestFit="1" customWidth="1"/>
    <col min="10" max="10" width="11.33203125" customWidth="1"/>
    <col min="11" max="11" width="11.21875" bestFit="1" customWidth="1"/>
    <col min="12" max="13" width="11.33203125" bestFit="1" customWidth="1"/>
    <col min="14" max="14" width="38.44140625" bestFit="1" customWidth="1"/>
  </cols>
  <sheetData>
    <row r="1" spans="1:14" ht="15" thickTop="1" x14ac:dyDescent="0.3">
      <c r="A1" s="84" t="s">
        <v>67</v>
      </c>
      <c r="B1" s="85">
        <v>43800</v>
      </c>
      <c r="C1" s="123">
        <v>44166</v>
      </c>
      <c r="D1" s="85">
        <v>44531</v>
      </c>
      <c r="E1" s="85">
        <v>44896</v>
      </c>
      <c r="F1" s="85">
        <v>45261</v>
      </c>
      <c r="G1" s="85">
        <v>45627</v>
      </c>
      <c r="H1" s="85">
        <v>45992</v>
      </c>
      <c r="I1" s="85" t="s">
        <v>69</v>
      </c>
      <c r="J1" s="86" t="s">
        <v>63</v>
      </c>
      <c r="K1" s="86" t="s">
        <v>64</v>
      </c>
      <c r="L1" s="86" t="s">
        <v>70</v>
      </c>
      <c r="M1" s="86" t="s">
        <v>71</v>
      </c>
      <c r="N1" s="87"/>
    </row>
    <row r="2" spans="1:14" ht="15" thickBot="1" x14ac:dyDescent="0.35">
      <c r="A2" s="88"/>
      <c r="B2" s="89"/>
      <c r="C2" s="124"/>
      <c r="D2" s="125"/>
      <c r="E2" s="125"/>
      <c r="F2" s="125"/>
      <c r="G2" s="125"/>
      <c r="H2" s="125"/>
      <c r="I2" s="125"/>
      <c r="J2" s="125"/>
      <c r="K2" s="125"/>
      <c r="L2" s="125"/>
      <c r="M2" s="125"/>
      <c r="N2" s="126"/>
    </row>
    <row r="3" spans="1:14" ht="15" thickTop="1" x14ac:dyDescent="0.3">
      <c r="A3" s="90" t="s">
        <v>0</v>
      </c>
      <c r="B3" s="3">
        <v>-301558</v>
      </c>
      <c r="C3" s="3">
        <v>-288880</v>
      </c>
      <c r="D3" s="3">
        <v>-302780</v>
      </c>
      <c r="E3" s="91">
        <v>-343229.59</v>
      </c>
      <c r="F3" s="91">
        <v>-374683.5</v>
      </c>
      <c r="G3" s="91">
        <v>-383844.73</v>
      </c>
      <c r="H3" s="92">
        <v>-307482.03000000003</v>
      </c>
      <c r="I3" s="93">
        <f>H3/J3</f>
        <v>0.77843551898734187</v>
      </c>
      <c r="J3" s="91">
        <v>-395000</v>
      </c>
      <c r="K3" s="92">
        <v>-245000</v>
      </c>
      <c r="L3" s="91">
        <v>-245000</v>
      </c>
      <c r="M3" s="91">
        <v>-385000</v>
      </c>
      <c r="N3" s="94" t="s">
        <v>242</v>
      </c>
    </row>
    <row r="4" spans="1:14" x14ac:dyDescent="0.3">
      <c r="A4" s="90" t="s">
        <v>1</v>
      </c>
      <c r="B4" s="3">
        <v>-250316</v>
      </c>
      <c r="C4" s="3">
        <v>-220781</v>
      </c>
      <c r="D4" s="3">
        <v>-198936</v>
      </c>
      <c r="E4" s="95">
        <v>-122772.86</v>
      </c>
      <c r="F4" s="91">
        <v>-319770.34999999998</v>
      </c>
      <c r="G4" s="91">
        <v>-312912</v>
      </c>
      <c r="H4" s="92">
        <v>-270422.78000000003</v>
      </c>
      <c r="I4" s="93">
        <f t="shared" ref="I4:I13" si="0">H4/J4</f>
        <v>0.90140926666666676</v>
      </c>
      <c r="J4" s="91">
        <v>-300000</v>
      </c>
      <c r="K4" s="92">
        <v>-285860</v>
      </c>
      <c r="L4" s="91">
        <v>-286800</v>
      </c>
      <c r="M4" s="91">
        <v>-286800</v>
      </c>
      <c r="N4" s="94" t="s">
        <v>180</v>
      </c>
    </row>
    <row r="5" spans="1:14" x14ac:dyDescent="0.3">
      <c r="A5" s="90" t="s">
        <v>2</v>
      </c>
      <c r="B5" s="3">
        <v>-22559</v>
      </c>
      <c r="C5" s="3">
        <v>-15791</v>
      </c>
      <c r="D5" s="3">
        <v>-26861</v>
      </c>
      <c r="E5" s="91">
        <v>-75291.62</v>
      </c>
      <c r="F5" s="91">
        <v>-71950.37</v>
      </c>
      <c r="G5" s="91">
        <v>-66891.39</v>
      </c>
      <c r="H5" s="92">
        <v>-76642.210000000006</v>
      </c>
      <c r="I5" s="93">
        <f t="shared" si="0"/>
        <v>0.95707055444555456</v>
      </c>
      <c r="J5" s="91">
        <v>-80080</v>
      </c>
      <c r="K5" s="92">
        <v>-72100</v>
      </c>
      <c r="L5" s="91">
        <v>-73050</v>
      </c>
      <c r="M5" s="91">
        <v>-75080</v>
      </c>
      <c r="N5" s="94" t="s">
        <v>181</v>
      </c>
    </row>
    <row r="6" spans="1:14" x14ac:dyDescent="0.3">
      <c r="A6" s="90" t="s">
        <v>3</v>
      </c>
      <c r="B6" s="3">
        <v>-214585</v>
      </c>
      <c r="C6" s="3">
        <v>-197132</v>
      </c>
      <c r="D6" s="3">
        <v>-163246</v>
      </c>
      <c r="E6" s="91">
        <v>-121721.35</v>
      </c>
      <c r="F6" s="91">
        <v>-115856.62</v>
      </c>
      <c r="G6" s="91">
        <v>-89151.74</v>
      </c>
      <c r="H6" s="92">
        <v>-114655.67999999999</v>
      </c>
      <c r="I6" s="93">
        <f t="shared" si="0"/>
        <v>0.93184181011361966</v>
      </c>
      <c r="J6" s="91">
        <v>-123042</v>
      </c>
      <c r="K6" s="92">
        <v>-114500</v>
      </c>
      <c r="L6" s="91">
        <v>-114800</v>
      </c>
      <c r="M6" s="91">
        <v>-120100</v>
      </c>
      <c r="N6" s="94" t="s">
        <v>182</v>
      </c>
    </row>
    <row r="7" spans="1:14" x14ac:dyDescent="0.3">
      <c r="A7" s="90" t="s">
        <v>4</v>
      </c>
      <c r="B7" s="3">
        <v>-147592</v>
      </c>
      <c r="C7" s="3">
        <f>-145486</f>
        <v>-145486</v>
      </c>
      <c r="D7" s="3">
        <v>-127</v>
      </c>
      <c r="E7" s="91">
        <v>-55130.34</v>
      </c>
      <c r="F7" s="91">
        <v>-13133.59</v>
      </c>
      <c r="G7" s="91">
        <v>-1437</v>
      </c>
      <c r="H7" s="92">
        <v>-10634.94</v>
      </c>
      <c r="I7" s="93">
        <f t="shared" si="0"/>
        <v>1.1040112114606042</v>
      </c>
      <c r="J7" s="91">
        <v>-9633</v>
      </c>
      <c r="K7" s="92">
        <v>-3000</v>
      </c>
      <c r="L7" s="91">
        <v>-12400</v>
      </c>
      <c r="M7" s="91">
        <v>-3500</v>
      </c>
      <c r="N7" s="94" t="s">
        <v>183</v>
      </c>
    </row>
    <row r="8" spans="1:14" x14ac:dyDescent="0.3">
      <c r="A8" s="90" t="s">
        <v>5</v>
      </c>
      <c r="B8" s="3">
        <v>-98582</v>
      </c>
      <c r="C8" s="3">
        <v>-92268</v>
      </c>
      <c r="D8" s="3">
        <v>-116594</v>
      </c>
      <c r="E8" s="91">
        <v>-88876.17</v>
      </c>
      <c r="F8" s="91">
        <v>-96448.8</v>
      </c>
      <c r="G8" s="91">
        <f>-113363+1432.43</f>
        <v>-111930.57</v>
      </c>
      <c r="H8" s="92">
        <f>-118594.03+87.12</f>
        <v>-118506.91</v>
      </c>
      <c r="I8" s="93">
        <f t="shared" si="0"/>
        <v>1.031508438726749</v>
      </c>
      <c r="J8" s="91">
        <f>-117387+2500</f>
        <v>-114887</v>
      </c>
      <c r="K8" s="92">
        <f>-124640+1500</f>
        <v>-123140</v>
      </c>
      <c r="L8" s="96">
        <f>-125700+2500</f>
        <v>-123200</v>
      </c>
      <c r="M8" s="96">
        <f>-126500+2500</f>
        <v>-124000</v>
      </c>
      <c r="N8" s="94" t="s">
        <v>184</v>
      </c>
    </row>
    <row r="9" spans="1:14" x14ac:dyDescent="0.3">
      <c r="A9" s="90" t="s">
        <v>6</v>
      </c>
      <c r="B9" s="3">
        <v>0</v>
      </c>
      <c r="C9" s="3">
        <v>-1761</v>
      </c>
      <c r="D9" s="3">
        <v>-3783</v>
      </c>
      <c r="E9" s="91">
        <v>-14530.78</v>
      </c>
      <c r="F9" s="97"/>
      <c r="G9" s="97">
        <v>-1432.43</v>
      </c>
      <c r="H9" s="98">
        <v>-87.12</v>
      </c>
      <c r="I9" s="93">
        <f t="shared" si="0"/>
        <v>3.4848000000000004E-2</v>
      </c>
      <c r="J9" s="97">
        <v>-2500</v>
      </c>
      <c r="K9" s="92">
        <v>-1500</v>
      </c>
      <c r="L9" s="97">
        <v>-2500</v>
      </c>
      <c r="M9" s="97">
        <v>-2500</v>
      </c>
      <c r="N9" s="94" t="s">
        <v>185</v>
      </c>
    </row>
    <row r="10" spans="1:14" hidden="1" x14ac:dyDescent="0.3">
      <c r="A10" s="90" t="s">
        <v>65</v>
      </c>
      <c r="B10" s="3">
        <v>0</v>
      </c>
      <c r="C10" s="3">
        <f>-12572*3</f>
        <v>-37716</v>
      </c>
      <c r="D10" s="3"/>
      <c r="E10" s="91"/>
      <c r="F10" s="97"/>
      <c r="G10" s="97"/>
      <c r="H10" s="98"/>
      <c r="I10" s="93" t="e">
        <f t="shared" si="0"/>
        <v>#DIV/0!</v>
      </c>
      <c r="J10" s="97"/>
      <c r="K10" s="98"/>
      <c r="L10" s="96"/>
      <c r="M10" s="96"/>
      <c r="N10" s="94" t="s">
        <v>186</v>
      </c>
    </row>
    <row r="11" spans="1:14" x14ac:dyDescent="0.3">
      <c r="A11" s="90" t="s">
        <v>7</v>
      </c>
      <c r="B11" s="3">
        <v>-10208</v>
      </c>
      <c r="C11" s="3">
        <v>-18870</v>
      </c>
      <c r="D11" s="3">
        <v>-16131</v>
      </c>
      <c r="E11" s="91">
        <v>-23908.78</v>
      </c>
      <c r="F11" s="91">
        <v>-27811.46</v>
      </c>
      <c r="G11" s="91">
        <v>-12447</v>
      </c>
      <c r="H11" s="92">
        <v>-9898.2000000000007</v>
      </c>
      <c r="I11" s="93">
        <f t="shared" si="0"/>
        <v>0.6110000000000001</v>
      </c>
      <c r="J11" s="91">
        <v>-16200</v>
      </c>
      <c r="K11" s="92">
        <v>-10100</v>
      </c>
      <c r="L11" s="91">
        <v>-14100</v>
      </c>
      <c r="M11" s="91">
        <v>-14100</v>
      </c>
      <c r="N11" s="94" t="s">
        <v>186</v>
      </c>
    </row>
    <row r="12" spans="1:14" x14ac:dyDescent="0.3">
      <c r="A12" s="90" t="s">
        <v>8</v>
      </c>
      <c r="B12" s="3">
        <v>-360186</v>
      </c>
      <c r="C12" s="3">
        <v>-364095</v>
      </c>
      <c r="D12" s="3">
        <v>-321365</v>
      </c>
      <c r="E12" s="95">
        <v>-339436.68</v>
      </c>
      <c r="F12" s="91">
        <v>-84046.07</v>
      </c>
      <c r="G12" s="91">
        <v>-72196.58</v>
      </c>
      <c r="H12" s="92">
        <v>-58514.28</v>
      </c>
      <c r="I12" s="93">
        <f t="shared" si="0"/>
        <v>0.85467223650385604</v>
      </c>
      <c r="J12" s="91">
        <v>-68464</v>
      </c>
      <c r="K12" s="92">
        <v>-58700</v>
      </c>
      <c r="L12" s="91">
        <v>-58700</v>
      </c>
      <c r="M12" s="91">
        <v>-58700</v>
      </c>
      <c r="N12" s="94" t="s">
        <v>187</v>
      </c>
    </row>
    <row r="13" spans="1:14" ht="15" thickBot="1" x14ac:dyDescent="0.35">
      <c r="A13" s="90" t="s">
        <v>9</v>
      </c>
      <c r="B13" s="3">
        <v>-210925</v>
      </c>
      <c r="C13" s="3">
        <v>-235838</v>
      </c>
      <c r="D13" s="3">
        <v>-238721</v>
      </c>
      <c r="E13" s="91">
        <v>-288845.87</v>
      </c>
      <c r="F13" s="91">
        <v>-330979.19</v>
      </c>
      <c r="G13" s="91">
        <v>-340494.02</v>
      </c>
      <c r="H13" s="92">
        <v>-302630.33</v>
      </c>
      <c r="I13" s="93">
        <f t="shared" si="0"/>
        <v>0.99440197283248011</v>
      </c>
      <c r="J13" s="91">
        <v>-304334</v>
      </c>
      <c r="K13" s="92">
        <v>-333275</v>
      </c>
      <c r="L13" s="91">
        <v>-340000</v>
      </c>
      <c r="M13" s="91">
        <v>-319450</v>
      </c>
      <c r="N13" s="94" t="s">
        <v>241</v>
      </c>
    </row>
    <row r="14" spans="1:14" ht="15" thickBot="1" x14ac:dyDescent="0.35">
      <c r="A14" s="88" t="s">
        <v>10</v>
      </c>
      <c r="B14" s="99">
        <f t="shared" ref="B14" si="1">SUM(B3:B13)</f>
        <v>-1616511</v>
      </c>
      <c r="C14" s="99">
        <f>SUM(C3:C13)+201</f>
        <v>-1618417</v>
      </c>
      <c r="D14" s="99">
        <f>SUM(D3:D13)</f>
        <v>-1388544</v>
      </c>
      <c r="E14" s="7">
        <v>-1473744.04</v>
      </c>
      <c r="F14" s="7">
        <v>-1434679.95</v>
      </c>
      <c r="G14" s="7">
        <f>SUM(G3:G13)</f>
        <v>-1392737.46</v>
      </c>
      <c r="H14" s="7">
        <f>SUM(H3:H13)</f>
        <v>-1269474.48</v>
      </c>
      <c r="I14" s="8">
        <f>H14/J14</f>
        <v>0.89770070855785145</v>
      </c>
      <c r="J14" s="7">
        <f t="shared" ref="J14:M14" si="2">SUM(J3:J13)</f>
        <v>-1414140</v>
      </c>
      <c r="K14" s="7">
        <f t="shared" si="2"/>
        <v>-1247175</v>
      </c>
      <c r="L14" s="7">
        <f t="shared" si="2"/>
        <v>-1270550</v>
      </c>
      <c r="M14" s="7">
        <f t="shared" si="2"/>
        <v>-1389230</v>
      </c>
      <c r="N14" s="100" t="s">
        <v>188</v>
      </c>
    </row>
    <row r="15" spans="1:14" x14ac:dyDescent="0.3">
      <c r="A15" s="90" t="s">
        <v>11</v>
      </c>
      <c r="B15" s="3">
        <v>-506419</v>
      </c>
      <c r="C15" s="3">
        <v>-337883</v>
      </c>
      <c r="D15" s="3">
        <v>-322673</v>
      </c>
      <c r="E15" s="91">
        <v>-329839.84000000003</v>
      </c>
      <c r="F15" s="91">
        <v>-383122.58</v>
      </c>
      <c r="G15" s="91">
        <v>-387306.83</v>
      </c>
      <c r="H15" s="92">
        <f>-433077.83+16500</f>
        <v>-416577.83</v>
      </c>
      <c r="I15" s="101">
        <f>H15/J15</f>
        <v>1.0220511543462794</v>
      </c>
      <c r="J15" s="91">
        <v>-407590</v>
      </c>
      <c r="K15" s="92">
        <v>-301075.75</v>
      </c>
      <c r="L15" s="91">
        <v>-302474.75</v>
      </c>
      <c r="M15" s="91">
        <v>-313336</v>
      </c>
      <c r="N15" s="102" t="s">
        <v>189</v>
      </c>
    </row>
    <row r="16" spans="1:14" x14ac:dyDescent="0.3">
      <c r="A16" s="90" t="s">
        <v>12</v>
      </c>
      <c r="B16" s="3">
        <v>-37563</v>
      </c>
      <c r="C16" s="3">
        <v>-3839</v>
      </c>
      <c r="D16" s="3">
        <v>-4870</v>
      </c>
      <c r="E16" s="91">
        <v>-8039.81</v>
      </c>
      <c r="F16" s="91">
        <v>-10382.66</v>
      </c>
      <c r="G16" s="91">
        <v>-17498.79</v>
      </c>
      <c r="H16" s="92">
        <f>-16500</f>
        <v>-16500</v>
      </c>
      <c r="I16" s="101">
        <f t="shared" ref="I16:I17" si="3">H16/J16</f>
        <v>1</v>
      </c>
      <c r="J16" s="91">
        <v>-16500</v>
      </c>
      <c r="K16" s="92">
        <v>-14500</v>
      </c>
      <c r="L16" s="91">
        <v>-14500</v>
      </c>
      <c r="M16" s="91">
        <v>-15000</v>
      </c>
      <c r="N16" s="102" t="s">
        <v>190</v>
      </c>
    </row>
    <row r="17" spans="1:14" ht="15" thickBot="1" x14ac:dyDescent="0.35">
      <c r="A17" s="90" t="s">
        <v>13</v>
      </c>
      <c r="B17" s="3">
        <v>-100329</v>
      </c>
      <c r="C17" s="3">
        <v>-76797</v>
      </c>
      <c r="D17" s="3">
        <v>-35948</v>
      </c>
      <c r="E17" s="95">
        <v>-15174.63</v>
      </c>
      <c r="F17" s="95">
        <v>-11290.08</v>
      </c>
      <c r="G17" s="95">
        <v>-10000</v>
      </c>
      <c r="H17" s="103">
        <f>-10188-8121.07</f>
        <v>-18309.07</v>
      </c>
      <c r="I17" s="101">
        <f t="shared" si="3"/>
        <v>0.97909465240641713</v>
      </c>
      <c r="J17" s="95">
        <v>-18700</v>
      </c>
      <c r="K17" s="103">
        <v>-18700</v>
      </c>
      <c r="L17" s="95">
        <v>-18700</v>
      </c>
      <c r="M17" s="95">
        <v>-18700</v>
      </c>
      <c r="N17" s="102" t="s">
        <v>191</v>
      </c>
    </row>
    <row r="18" spans="1:14" ht="15" thickBot="1" x14ac:dyDescent="0.35">
      <c r="A18" s="88" t="s">
        <v>14</v>
      </c>
      <c r="B18" s="99">
        <f t="shared" ref="B18:C18" si="4">SUM(B15:B17)</f>
        <v>-644311</v>
      </c>
      <c r="C18" s="99">
        <f t="shared" si="4"/>
        <v>-418519</v>
      </c>
      <c r="D18" s="99">
        <f>SUM(D15:D17)</f>
        <v>-363491</v>
      </c>
      <c r="E18" s="7">
        <v>-353054.28</v>
      </c>
      <c r="F18" s="7">
        <v>-404795.32</v>
      </c>
      <c r="G18" s="7">
        <f>SUM(G15:G17)</f>
        <v>-414805.62</v>
      </c>
      <c r="H18" s="7">
        <f>SUM(H15:H17)</f>
        <v>-451386.9</v>
      </c>
      <c r="I18" s="8">
        <f>H18/J18</f>
        <v>1.0194152984484746</v>
      </c>
      <c r="J18" s="7">
        <f t="shared" ref="J18:M18" si="5">SUM(J15:J17)</f>
        <v>-442790</v>
      </c>
      <c r="K18" s="7">
        <f t="shared" si="5"/>
        <v>-334275.75</v>
      </c>
      <c r="L18" s="7">
        <f t="shared" si="5"/>
        <v>-335674.75</v>
      </c>
      <c r="M18" s="7">
        <f t="shared" si="5"/>
        <v>-347036</v>
      </c>
      <c r="N18" s="100" t="s">
        <v>192</v>
      </c>
    </row>
    <row r="19" spans="1:14" x14ac:dyDescent="0.3">
      <c r="A19" s="90" t="s">
        <v>15</v>
      </c>
      <c r="B19" s="3">
        <v>-100282</v>
      </c>
      <c r="C19" s="3">
        <v>-100438</v>
      </c>
      <c r="D19" s="3">
        <v>-102021</v>
      </c>
      <c r="E19" s="91">
        <v>-115034.28</v>
      </c>
      <c r="F19" s="91">
        <v>-125776.94</v>
      </c>
      <c r="G19" s="91">
        <v>-146836</v>
      </c>
      <c r="H19" s="92">
        <v>-151793.35999999999</v>
      </c>
      <c r="I19" s="101">
        <f>H19/J19</f>
        <v>1.2371096984515075</v>
      </c>
      <c r="J19" s="91">
        <v>-122700</v>
      </c>
      <c r="K19" s="92">
        <v>-102650</v>
      </c>
      <c r="L19" s="91">
        <v>-96750</v>
      </c>
      <c r="M19" s="91">
        <v>-96750</v>
      </c>
      <c r="N19" s="102" t="s">
        <v>193</v>
      </c>
    </row>
    <row r="20" spans="1:14" x14ac:dyDescent="0.3">
      <c r="A20" s="90" t="s">
        <v>16</v>
      </c>
      <c r="B20" s="3">
        <f>-1124215+39370</f>
        <v>-1084845</v>
      </c>
      <c r="C20" s="3">
        <f>-1177331+58339</f>
        <v>-1118992</v>
      </c>
      <c r="D20" s="3">
        <v>-1130550</v>
      </c>
      <c r="E20" s="91">
        <v>-636516.76</v>
      </c>
      <c r="F20" s="91">
        <v>-483727.26</v>
      </c>
      <c r="G20" s="91">
        <v>-440319</v>
      </c>
      <c r="H20" s="92">
        <v>-598298.86</v>
      </c>
      <c r="I20" s="101">
        <f t="shared" ref="I20:I29" si="6">H20/J20</f>
        <v>1.1485338744231404</v>
      </c>
      <c r="J20" s="91">
        <v>-520924</v>
      </c>
      <c r="K20" s="92">
        <v>-548932.46</v>
      </c>
      <c r="L20" s="91">
        <v>-550000</v>
      </c>
      <c r="M20" s="91">
        <v>-550000</v>
      </c>
      <c r="N20" s="102" t="s">
        <v>194</v>
      </c>
    </row>
    <row r="21" spans="1:14" x14ac:dyDescent="0.3">
      <c r="A21" s="90" t="s">
        <v>17</v>
      </c>
      <c r="B21" s="3">
        <v>-39370</v>
      </c>
      <c r="C21" s="3">
        <v>-58339</v>
      </c>
      <c r="D21" s="3">
        <v>-89933</v>
      </c>
      <c r="E21" s="91">
        <v>-216147.51</v>
      </c>
      <c r="F21" s="91">
        <v>-216585.77</v>
      </c>
      <c r="G21" s="91">
        <v>-21783</v>
      </c>
      <c r="H21" s="92">
        <v>-42735.49</v>
      </c>
      <c r="I21" s="101">
        <f t="shared" si="6"/>
        <v>0.98468870967741928</v>
      </c>
      <c r="J21" s="91">
        <v>-43400</v>
      </c>
      <c r="K21" s="92">
        <v>-69000</v>
      </c>
      <c r="L21" s="91">
        <v>-267000</v>
      </c>
      <c r="M21" s="91">
        <v>-35000</v>
      </c>
      <c r="N21" s="102" t="s">
        <v>195</v>
      </c>
    </row>
    <row r="22" spans="1:14" x14ac:dyDescent="0.3">
      <c r="A22" s="90" t="s">
        <v>18</v>
      </c>
      <c r="B22" s="3">
        <v>-73619</v>
      </c>
      <c r="C22" s="3">
        <v>-133727</v>
      </c>
      <c r="D22" s="3">
        <v>-32652</v>
      </c>
      <c r="E22" s="91">
        <v>-27466.53</v>
      </c>
      <c r="F22" s="91">
        <v>-15593.94</v>
      </c>
      <c r="G22" s="91">
        <v>-46747</v>
      </c>
      <c r="H22" s="92">
        <v>-24784.04</v>
      </c>
      <c r="I22" s="101">
        <f t="shared" si="6"/>
        <v>0.50374065040650406</v>
      </c>
      <c r="J22" s="91">
        <v>-49200</v>
      </c>
      <c r="K22" s="92">
        <v>-30000</v>
      </c>
      <c r="L22" s="91">
        <v>-30000</v>
      </c>
      <c r="M22" s="91">
        <v>-30000</v>
      </c>
      <c r="N22" s="102" t="s">
        <v>196</v>
      </c>
    </row>
    <row r="23" spans="1:14" x14ac:dyDescent="0.3">
      <c r="A23" s="90" t="s">
        <v>19</v>
      </c>
      <c r="B23" s="3">
        <v>0</v>
      </c>
      <c r="C23" s="3">
        <v>0</v>
      </c>
      <c r="D23" s="3">
        <v>0</v>
      </c>
      <c r="E23" s="97"/>
      <c r="F23" s="97"/>
      <c r="G23" s="97"/>
      <c r="H23" s="98">
        <v>-35030</v>
      </c>
      <c r="I23" s="101">
        <f t="shared" si="6"/>
        <v>1.1373376623376623</v>
      </c>
      <c r="J23" s="97">
        <v>-30800</v>
      </c>
      <c r="K23" s="92">
        <v>-23123</v>
      </c>
      <c r="L23" s="97">
        <v>-30000</v>
      </c>
      <c r="M23" s="97">
        <v>-30000</v>
      </c>
      <c r="N23" s="102" t="s">
        <v>197</v>
      </c>
    </row>
    <row r="24" spans="1:14" x14ac:dyDescent="0.3">
      <c r="A24" s="90" t="s">
        <v>20</v>
      </c>
      <c r="B24" s="3">
        <v>-27710</v>
      </c>
      <c r="C24" s="3">
        <v>-3354</v>
      </c>
      <c r="D24" s="3">
        <v>-2586</v>
      </c>
      <c r="E24" s="91">
        <v>-3792.04</v>
      </c>
      <c r="F24" s="91">
        <v>-4287.33</v>
      </c>
      <c r="G24" s="91">
        <v>-3671</v>
      </c>
      <c r="H24" s="92">
        <v>-1282.03</v>
      </c>
      <c r="I24" s="101">
        <f t="shared" si="6"/>
        <v>0.4273433333333333</v>
      </c>
      <c r="J24" s="91">
        <v>-3000</v>
      </c>
      <c r="K24" s="92">
        <v>-2000</v>
      </c>
      <c r="L24" s="91">
        <v>-3000</v>
      </c>
      <c r="M24" s="91">
        <v>-3000</v>
      </c>
      <c r="N24" s="102" t="s">
        <v>198</v>
      </c>
    </row>
    <row r="25" spans="1:14" x14ac:dyDescent="0.3">
      <c r="A25" s="90" t="s">
        <v>21</v>
      </c>
      <c r="B25" s="3">
        <v>-51626</v>
      </c>
      <c r="C25" s="3">
        <v>-116629</v>
      </c>
      <c r="D25" s="3">
        <v>-156335</v>
      </c>
      <c r="E25" s="91">
        <v>-76975.89</v>
      </c>
      <c r="F25" s="91">
        <v>-65443.3</v>
      </c>
      <c r="G25" s="91">
        <v>-39934</v>
      </c>
      <c r="H25" s="92">
        <v>-45601.1</v>
      </c>
      <c r="I25" s="101">
        <f t="shared" si="6"/>
        <v>1.1259530864197531</v>
      </c>
      <c r="J25" s="91">
        <v>-40500</v>
      </c>
      <c r="K25" s="92">
        <v>-40500</v>
      </c>
      <c r="L25" s="91">
        <v>-44500</v>
      </c>
      <c r="M25" s="91">
        <v>-43500</v>
      </c>
      <c r="N25" s="102" t="s">
        <v>199</v>
      </c>
    </row>
    <row r="26" spans="1:14" x14ac:dyDescent="0.3">
      <c r="A26" s="90" t="s">
        <v>22</v>
      </c>
      <c r="B26" s="3">
        <v>-56332</v>
      </c>
      <c r="C26" s="3">
        <v>-54856</v>
      </c>
      <c r="D26" s="3">
        <v>-112684</v>
      </c>
      <c r="E26" s="91">
        <v>-87858.87</v>
      </c>
      <c r="F26" s="91">
        <v>-67975.53</v>
      </c>
      <c r="G26" s="91">
        <v>-59751</v>
      </c>
      <c r="H26" s="92">
        <v>-96703.19</v>
      </c>
      <c r="I26" s="101">
        <f t="shared" si="6"/>
        <v>0.79591102880658438</v>
      </c>
      <c r="J26" s="91">
        <v>-121500</v>
      </c>
      <c r="K26" s="92">
        <v>-106500</v>
      </c>
      <c r="L26" s="91">
        <v>-106500</v>
      </c>
      <c r="M26" s="91">
        <v>-101500</v>
      </c>
      <c r="N26" s="102" t="s">
        <v>200</v>
      </c>
    </row>
    <row r="27" spans="1:14" s="2" customFormat="1" x14ac:dyDescent="0.3">
      <c r="A27" s="104" t="s">
        <v>23</v>
      </c>
      <c r="B27" s="3">
        <v>-2881</v>
      </c>
      <c r="C27" s="3">
        <v>-4655</v>
      </c>
      <c r="D27" s="3">
        <v>-4068</v>
      </c>
      <c r="E27" s="95">
        <v>-4067.34</v>
      </c>
      <c r="F27" s="95">
        <v>-3883.77</v>
      </c>
      <c r="G27" s="95">
        <v>-5391</v>
      </c>
      <c r="H27" s="103">
        <v>-4150</v>
      </c>
      <c r="I27" s="101">
        <f t="shared" si="6"/>
        <v>1.0375000000000001</v>
      </c>
      <c r="J27" s="95">
        <v>-4000</v>
      </c>
      <c r="K27" s="103">
        <v>-2500</v>
      </c>
      <c r="L27" s="105">
        <v>-4000</v>
      </c>
      <c r="M27" s="105">
        <v>-4000</v>
      </c>
      <c r="N27" s="102" t="s">
        <v>201</v>
      </c>
    </row>
    <row r="28" spans="1:14" x14ac:dyDescent="0.3">
      <c r="A28" s="90" t="s">
        <v>24</v>
      </c>
      <c r="B28" s="3">
        <v>-30012</v>
      </c>
      <c r="C28" s="3">
        <v>-4492</v>
      </c>
      <c r="D28" s="3">
        <v>-2357</v>
      </c>
      <c r="E28" s="91">
        <v>-1777.85</v>
      </c>
      <c r="F28" s="91">
        <v>-2220.96</v>
      </c>
      <c r="G28" s="91">
        <v>-1131</v>
      </c>
      <c r="H28" s="92">
        <v>-1416.63</v>
      </c>
      <c r="I28" s="101">
        <f t="shared" si="6"/>
        <v>0.47221000000000002</v>
      </c>
      <c r="J28" s="91">
        <v>-3000</v>
      </c>
      <c r="K28" s="92">
        <v>-50000</v>
      </c>
      <c r="L28" s="91">
        <v>-10000</v>
      </c>
      <c r="M28" s="91">
        <v>-3000</v>
      </c>
      <c r="N28" s="102" t="s">
        <v>202</v>
      </c>
    </row>
    <row r="29" spans="1:14" ht="15" thickBot="1" x14ac:dyDescent="0.35">
      <c r="A29" s="90" t="s">
        <v>25</v>
      </c>
      <c r="B29" s="3">
        <v>-264724</v>
      </c>
      <c r="C29" s="3">
        <v>-305694</v>
      </c>
      <c r="D29" s="3">
        <v>-310854</v>
      </c>
      <c r="E29" s="91">
        <v>-290595.44</v>
      </c>
      <c r="F29" s="91">
        <v>-346415.6</v>
      </c>
      <c r="G29" s="91">
        <v>-351017</v>
      </c>
      <c r="H29" s="92">
        <f>-403574.63+35030</f>
        <v>-368544.63</v>
      </c>
      <c r="I29" s="101">
        <f t="shared" si="6"/>
        <v>0.97812199433102964</v>
      </c>
      <c r="J29" s="91">
        <v>-376788</v>
      </c>
      <c r="K29" s="92">
        <v>-413748</v>
      </c>
      <c r="L29" s="91">
        <v>-449434</v>
      </c>
      <c r="M29" s="91">
        <v>-350700</v>
      </c>
      <c r="N29" s="102" t="s">
        <v>203</v>
      </c>
    </row>
    <row r="30" spans="1:14" ht="15" thickBot="1" x14ac:dyDescent="0.35">
      <c r="A30" s="106" t="s">
        <v>26</v>
      </c>
      <c r="B30" s="7">
        <f>SUM(B19:B29)</f>
        <v>-1731401</v>
      </c>
      <c r="C30" s="7">
        <f t="shared" ref="C30" si="7">SUM(C19:C29)</f>
        <v>-1901176</v>
      </c>
      <c r="D30" s="7">
        <f>SUM(D19:D29)</f>
        <v>-1944040</v>
      </c>
      <c r="E30" s="7">
        <v>-1460232.51</v>
      </c>
      <c r="F30" s="7">
        <v>-1331910.3999999999</v>
      </c>
      <c r="G30" s="7">
        <f>SUM(G19:G29)</f>
        <v>-1116580</v>
      </c>
      <c r="H30" s="7">
        <f t="shared" ref="H30:M30" si="8">SUM(H19:H29)</f>
        <v>-1370339.33</v>
      </c>
      <c r="I30" s="8">
        <f>H30/J30</f>
        <v>1.0414400613461499</v>
      </c>
      <c r="J30" s="7">
        <f t="shared" si="8"/>
        <v>-1315812</v>
      </c>
      <c r="K30" s="7">
        <f t="shared" si="8"/>
        <v>-1388953.46</v>
      </c>
      <c r="L30" s="7">
        <f t="shared" si="8"/>
        <v>-1591184</v>
      </c>
      <c r="M30" s="7">
        <f t="shared" si="8"/>
        <v>-1247450</v>
      </c>
      <c r="N30" s="107" t="s">
        <v>204</v>
      </c>
    </row>
    <row r="31" spans="1:14" hidden="1" x14ac:dyDescent="0.3">
      <c r="A31" s="90" t="s">
        <v>27</v>
      </c>
      <c r="B31" s="3"/>
      <c r="C31" s="3">
        <v>100000</v>
      </c>
      <c r="D31" s="3"/>
      <c r="E31" s="97"/>
      <c r="F31" s="97"/>
      <c r="G31" s="97"/>
      <c r="H31" s="97"/>
      <c r="I31" s="97"/>
      <c r="J31" s="97"/>
      <c r="K31" s="97"/>
      <c r="L31" s="96"/>
      <c r="M31" s="96"/>
      <c r="N31" s="102" t="s">
        <v>205</v>
      </c>
    </row>
    <row r="32" spans="1:14" hidden="1" x14ac:dyDescent="0.3">
      <c r="A32" s="90" t="s">
        <v>28</v>
      </c>
      <c r="B32" s="3">
        <v>-100000</v>
      </c>
      <c r="C32" s="3"/>
      <c r="D32" s="3"/>
      <c r="E32" s="91">
        <v>0</v>
      </c>
      <c r="F32" s="97"/>
      <c r="G32" s="97"/>
      <c r="H32" s="97"/>
      <c r="I32" s="97"/>
      <c r="J32" s="97"/>
      <c r="K32" s="97"/>
      <c r="L32" s="96"/>
      <c r="M32" s="96"/>
      <c r="N32" s="102" t="s">
        <v>206</v>
      </c>
    </row>
    <row r="33" spans="1:14" x14ac:dyDescent="0.3">
      <c r="A33" s="90" t="s">
        <v>29</v>
      </c>
      <c r="B33" s="3">
        <v>-17707</v>
      </c>
      <c r="C33" s="3">
        <v>-27635</v>
      </c>
      <c r="D33" s="3">
        <v>-14397</v>
      </c>
      <c r="E33" s="91">
        <v>-59524.37</v>
      </c>
      <c r="F33" s="91">
        <v>-33120.949999999997</v>
      </c>
      <c r="G33" s="91">
        <v>-18717.759999999998</v>
      </c>
      <c r="H33" s="92">
        <v>-22227.040000000001</v>
      </c>
      <c r="I33" s="101">
        <f>H33/J33</f>
        <v>1.1369329923273657</v>
      </c>
      <c r="J33" s="91">
        <v>-19550</v>
      </c>
      <c r="K33" s="92">
        <v>-16480</v>
      </c>
      <c r="L33" s="91">
        <v>-19550</v>
      </c>
      <c r="M33" s="91">
        <v>-19550</v>
      </c>
      <c r="N33" s="102" t="s">
        <v>207</v>
      </c>
    </row>
    <row r="34" spans="1:14" x14ac:dyDescent="0.3">
      <c r="A34" s="90" t="s">
        <v>30</v>
      </c>
      <c r="B34" s="3">
        <v>-37673</v>
      </c>
      <c r="C34" s="3">
        <v>-15183</v>
      </c>
      <c r="D34" s="3">
        <v>-11997</v>
      </c>
      <c r="E34" s="91">
        <v>-50423.08</v>
      </c>
      <c r="F34" s="91">
        <v>-59636.37</v>
      </c>
      <c r="G34" s="91">
        <v>-26296.49</v>
      </c>
      <c r="H34" s="92">
        <v>-15879.32</v>
      </c>
      <c r="I34" s="101">
        <f t="shared" ref="I34:I44" si="9">H34/J34</f>
        <v>0.80332473314109376</v>
      </c>
      <c r="J34" s="91">
        <v>-19767</v>
      </c>
      <c r="K34" s="92">
        <v>-32267</v>
      </c>
      <c r="L34" s="91">
        <v>-16767</v>
      </c>
      <c r="M34" s="91">
        <v>-19267</v>
      </c>
      <c r="N34" s="102" t="s">
        <v>208</v>
      </c>
    </row>
    <row r="35" spans="1:14" x14ac:dyDescent="0.3">
      <c r="A35" s="90" t="s">
        <v>31</v>
      </c>
      <c r="B35" s="3">
        <v>-9362</v>
      </c>
      <c r="C35" s="3">
        <v>-11967</v>
      </c>
      <c r="D35" s="3">
        <v>-9657</v>
      </c>
      <c r="E35" s="91">
        <v>-10575.51</v>
      </c>
      <c r="F35" s="91">
        <v>-10107.32</v>
      </c>
      <c r="G35" s="91">
        <v>-11175.36</v>
      </c>
      <c r="H35" s="92">
        <v>-9972.2900000000009</v>
      </c>
      <c r="I35" s="101">
        <f t="shared" si="9"/>
        <v>1.2719757653061226</v>
      </c>
      <c r="J35" s="91">
        <v>-7840</v>
      </c>
      <c r="K35" s="92">
        <v>-7250</v>
      </c>
      <c r="L35" s="91">
        <v>-7840</v>
      </c>
      <c r="M35" s="91">
        <v>-7840</v>
      </c>
      <c r="N35" s="102" t="s">
        <v>209</v>
      </c>
    </row>
    <row r="36" spans="1:14" x14ac:dyDescent="0.3">
      <c r="A36" s="90" t="s">
        <v>32</v>
      </c>
      <c r="B36" s="3">
        <v>-26678</v>
      </c>
      <c r="C36" s="3">
        <v>-23132</v>
      </c>
      <c r="D36" s="3">
        <v>-22931</v>
      </c>
      <c r="E36" s="91">
        <v>-22220.54</v>
      </c>
      <c r="F36" s="91">
        <v>-28387.19</v>
      </c>
      <c r="G36" s="91">
        <v>-34095.800000000003</v>
      </c>
      <c r="H36" s="92">
        <v>-19371.03</v>
      </c>
      <c r="I36" s="101">
        <f t="shared" si="9"/>
        <v>0.9009781395348837</v>
      </c>
      <c r="J36" s="91">
        <v>-21500</v>
      </c>
      <c r="K36" s="92">
        <v>-31000</v>
      </c>
      <c r="L36" s="91">
        <v>-31000</v>
      </c>
      <c r="M36" s="91">
        <v>-31000</v>
      </c>
      <c r="N36" s="102" t="s">
        <v>210</v>
      </c>
    </row>
    <row r="37" spans="1:14" x14ac:dyDescent="0.3">
      <c r="A37" s="90" t="s">
        <v>33</v>
      </c>
      <c r="B37" s="3">
        <v>-43631</v>
      </c>
      <c r="C37" s="3">
        <v>-45134</v>
      </c>
      <c r="D37" s="3">
        <v>-56079</v>
      </c>
      <c r="E37" s="91">
        <v>-63076.74</v>
      </c>
      <c r="F37" s="91">
        <v>-63398.26</v>
      </c>
      <c r="G37" s="91">
        <v>-21401.01</v>
      </c>
      <c r="H37" s="92">
        <v>-19251.75</v>
      </c>
      <c r="I37" s="101">
        <f t="shared" si="9"/>
        <v>0.70614935993837802</v>
      </c>
      <c r="J37" s="91">
        <v>-27263</v>
      </c>
      <c r="K37" s="92">
        <v>-40000</v>
      </c>
      <c r="L37" s="91">
        <v>-40000</v>
      </c>
      <c r="M37" s="91">
        <v>-40000</v>
      </c>
      <c r="N37" s="102" t="s">
        <v>211</v>
      </c>
    </row>
    <row r="38" spans="1:14" x14ac:dyDescent="0.3">
      <c r="A38" s="90" t="s">
        <v>34</v>
      </c>
      <c r="B38" s="3">
        <v>-15182</v>
      </c>
      <c r="C38" s="3">
        <v>-19802</v>
      </c>
      <c r="D38" s="3">
        <v>-11807</v>
      </c>
      <c r="E38" s="91">
        <v>-19508.28</v>
      </c>
      <c r="F38" s="91">
        <v>-19319.57</v>
      </c>
      <c r="G38" s="91">
        <v>-21815.57</v>
      </c>
      <c r="H38" s="92">
        <v>-19314.349999999999</v>
      </c>
      <c r="I38" s="101">
        <f t="shared" si="9"/>
        <v>0.99666391454667413</v>
      </c>
      <c r="J38" s="91">
        <v>-19379</v>
      </c>
      <c r="K38" s="92">
        <v>-20950</v>
      </c>
      <c r="L38" s="91">
        <v>-20950</v>
      </c>
      <c r="M38" s="91">
        <v>-20950</v>
      </c>
      <c r="N38" s="102" t="s">
        <v>212</v>
      </c>
    </row>
    <row r="39" spans="1:14" x14ac:dyDescent="0.3">
      <c r="A39" s="90" t="s">
        <v>35</v>
      </c>
      <c r="B39" s="3">
        <v>-247493</v>
      </c>
      <c r="C39" s="3">
        <v>-269886</v>
      </c>
      <c r="D39" s="3">
        <v>-273322</v>
      </c>
      <c r="E39" s="91">
        <v>-321248.95</v>
      </c>
      <c r="F39" s="91">
        <v>-293112.34999999998</v>
      </c>
      <c r="G39" s="91">
        <v>-268753.98</v>
      </c>
      <c r="H39" s="92">
        <v>-297481.24</v>
      </c>
      <c r="I39" s="101">
        <f t="shared" si="9"/>
        <v>0.97501905913740605</v>
      </c>
      <c r="J39" s="91">
        <v>-305103</v>
      </c>
      <c r="K39" s="92">
        <v>-277866</v>
      </c>
      <c r="L39" s="91">
        <v>-283465</v>
      </c>
      <c r="M39" s="91">
        <v>-289415</v>
      </c>
      <c r="N39" s="102" t="s">
        <v>213</v>
      </c>
    </row>
    <row r="40" spans="1:14" x14ac:dyDescent="0.3">
      <c r="A40" s="90" t="s">
        <v>36</v>
      </c>
      <c r="B40" s="3">
        <v>-7758</v>
      </c>
      <c r="C40" s="3">
        <v>-22338</v>
      </c>
      <c r="D40" s="3">
        <v>-42745</v>
      </c>
      <c r="E40" s="91">
        <v>-41487.480000000003</v>
      </c>
      <c r="F40" s="91">
        <v>-61028.97</v>
      </c>
      <c r="G40" s="91">
        <v>-68054.02</v>
      </c>
      <c r="H40" s="92">
        <v>-66908.05</v>
      </c>
      <c r="I40" s="101">
        <f t="shared" si="9"/>
        <v>1.1364617658049394</v>
      </c>
      <c r="J40" s="91">
        <v>-58874</v>
      </c>
      <c r="K40" s="92">
        <v>-54194</v>
      </c>
      <c r="L40" s="91">
        <v>-48754</v>
      </c>
      <c r="M40" s="91">
        <v>-48754</v>
      </c>
      <c r="N40" s="102" t="s">
        <v>214</v>
      </c>
    </row>
    <row r="41" spans="1:14" x14ac:dyDescent="0.3">
      <c r="A41" s="90" t="s">
        <v>66</v>
      </c>
      <c r="B41" s="3">
        <v>-14357</v>
      </c>
      <c r="C41" s="3">
        <v>-33859</v>
      </c>
      <c r="D41" s="3">
        <v>-17954</v>
      </c>
      <c r="E41" s="91">
        <v>-27487.58</v>
      </c>
      <c r="F41" s="91">
        <v>-17115.55</v>
      </c>
      <c r="G41" s="91">
        <v>-49011</v>
      </c>
      <c r="H41" s="92">
        <v>-31891.09</v>
      </c>
      <c r="I41" s="101">
        <f t="shared" si="9"/>
        <v>1.3880174965181058</v>
      </c>
      <c r="J41" s="91">
        <v>-22976</v>
      </c>
      <c r="K41" s="92">
        <v>-29865</v>
      </c>
      <c r="L41" s="91">
        <v>-29676</v>
      </c>
      <c r="M41" s="91">
        <v>-29676</v>
      </c>
      <c r="N41" s="102" t="s">
        <v>215</v>
      </c>
    </row>
    <row r="42" spans="1:14" x14ac:dyDescent="0.3">
      <c r="A42" s="90" t="s">
        <v>37</v>
      </c>
      <c r="B42" s="3"/>
      <c r="C42" s="3"/>
      <c r="D42" s="3">
        <v>-14888</v>
      </c>
      <c r="E42" s="91">
        <v>-18343.84</v>
      </c>
      <c r="F42" s="91">
        <v>-22842.44</v>
      </c>
      <c r="G42" s="91">
        <v>-23818.639999999999</v>
      </c>
      <c r="H42" s="92">
        <v>-18441.580000000002</v>
      </c>
      <c r="I42" s="101">
        <f t="shared" si="9"/>
        <v>1.4993154471544716</v>
      </c>
      <c r="J42" s="91">
        <v>-12300</v>
      </c>
      <c r="K42" s="92">
        <v>-12100</v>
      </c>
      <c r="L42" s="91">
        <v>-12300</v>
      </c>
      <c r="M42" s="91">
        <v>-12300</v>
      </c>
      <c r="N42" s="102" t="s">
        <v>216</v>
      </c>
    </row>
    <row r="43" spans="1:14" x14ac:dyDescent="0.3">
      <c r="A43" s="90" t="s">
        <v>38</v>
      </c>
      <c r="B43" s="3">
        <v>-68553</v>
      </c>
      <c r="C43" s="3">
        <v>-91238</v>
      </c>
      <c r="D43" s="3">
        <v>-88796</v>
      </c>
      <c r="E43" s="91">
        <v>-58457.93</v>
      </c>
      <c r="F43" s="91">
        <v>-88800.44</v>
      </c>
      <c r="G43" s="91">
        <v>-78653.570000000007</v>
      </c>
      <c r="H43" s="92">
        <v>-81190.11</v>
      </c>
      <c r="I43" s="101">
        <f t="shared" si="9"/>
        <v>1.0277229113924051</v>
      </c>
      <c r="J43" s="91">
        <v>-79000</v>
      </c>
      <c r="K43" s="92">
        <v>-66089</v>
      </c>
      <c r="L43" s="91">
        <v>-63500</v>
      </c>
      <c r="M43" s="91">
        <v>-63500</v>
      </c>
      <c r="N43" s="102" t="s">
        <v>217</v>
      </c>
    </row>
    <row r="44" spans="1:14" ht="15" thickBot="1" x14ac:dyDescent="0.35">
      <c r="A44" s="90" t="s">
        <v>39</v>
      </c>
      <c r="B44" s="3">
        <v>-18994</v>
      </c>
      <c r="C44" s="3">
        <v>-6709</v>
      </c>
      <c r="D44" s="3">
        <v>-70274</v>
      </c>
      <c r="E44" s="91">
        <v>-30517.01</v>
      </c>
      <c r="F44" s="91">
        <v>-29199.46</v>
      </c>
      <c r="G44" s="91">
        <v>-26420</v>
      </c>
      <c r="H44" s="92">
        <v>-37264.89</v>
      </c>
      <c r="I44" s="101">
        <f t="shared" si="9"/>
        <v>3.7264889999999999</v>
      </c>
      <c r="J44" s="91">
        <v>-10000</v>
      </c>
      <c r="K44" s="92">
        <v>-10000</v>
      </c>
      <c r="L44" s="91">
        <v>-10000</v>
      </c>
      <c r="M44" s="91">
        <v>-10000</v>
      </c>
      <c r="N44" s="102" t="s">
        <v>218</v>
      </c>
    </row>
    <row r="45" spans="1:14" ht="15" hidden="1" thickBot="1" x14ac:dyDescent="0.35">
      <c r="A45" s="90" t="s">
        <v>40</v>
      </c>
      <c r="B45" s="3">
        <v>0</v>
      </c>
      <c r="C45" s="3">
        <v>0</v>
      </c>
      <c r="D45" s="3">
        <v>0</v>
      </c>
      <c r="E45" s="91">
        <v>-47830.49</v>
      </c>
      <c r="F45" s="97"/>
      <c r="G45" s="97"/>
      <c r="H45" s="97"/>
      <c r="I45" s="97"/>
      <c r="J45" s="97"/>
      <c r="K45" s="97"/>
      <c r="L45" s="96"/>
      <c r="M45" s="96"/>
      <c r="N45" s="102" t="s">
        <v>219</v>
      </c>
    </row>
    <row r="46" spans="1:14" ht="15" thickBot="1" x14ac:dyDescent="0.35">
      <c r="A46" s="106" t="s">
        <v>41</v>
      </c>
      <c r="B46" s="7">
        <f t="shared" ref="B46:C46" si="10">SUM(B31:B45)</f>
        <v>-607388</v>
      </c>
      <c r="C46" s="7">
        <f t="shared" si="10"/>
        <v>-466883</v>
      </c>
      <c r="D46" s="7">
        <f>SUM(D31:D45)</f>
        <v>-634847</v>
      </c>
      <c r="E46" s="7">
        <v>-770701.8</v>
      </c>
      <c r="F46" s="7">
        <v>-726068.87</v>
      </c>
      <c r="G46" s="7">
        <f t="shared" ref="G46:M46" si="11">SUM(G32:G45)</f>
        <v>-648213.19999999995</v>
      </c>
      <c r="H46" s="7">
        <f>SUM(H32:H45)</f>
        <v>-639192.74000000011</v>
      </c>
      <c r="I46" s="8">
        <f>H46/J46</f>
        <v>1.0590516475796619</v>
      </c>
      <c r="J46" s="7">
        <f t="shared" si="11"/>
        <v>-603552</v>
      </c>
      <c r="K46" s="7">
        <f t="shared" si="11"/>
        <v>-598061</v>
      </c>
      <c r="L46" s="7">
        <f t="shared" si="11"/>
        <v>-583802</v>
      </c>
      <c r="M46" s="7">
        <f t="shared" si="11"/>
        <v>-592252</v>
      </c>
      <c r="N46" s="107" t="s">
        <v>220</v>
      </c>
    </row>
    <row r="47" spans="1:14" x14ac:dyDescent="0.3">
      <c r="A47" s="108" t="s">
        <v>42</v>
      </c>
      <c r="B47" s="4">
        <f t="shared" ref="B47" si="12">B46+B30+B18+B14</f>
        <v>-4599611</v>
      </c>
      <c r="C47" s="4">
        <f>C46+C30+C18+C14</f>
        <v>-4404995</v>
      </c>
      <c r="D47" s="4">
        <f>D46+D30+D18+D14</f>
        <v>-4330922</v>
      </c>
      <c r="E47" s="109">
        <v>-4057732.63</v>
      </c>
      <c r="F47" s="109">
        <v>-3897454.54</v>
      </c>
      <c r="G47" s="109">
        <f>G46+G30+G18+G14</f>
        <v>-3572336.28</v>
      </c>
      <c r="H47" s="109">
        <f t="shared" ref="H47:M47" si="13">H46+H30+H18+H14</f>
        <v>-3730393.45</v>
      </c>
      <c r="I47" s="110">
        <f>H47/J47</f>
        <v>0.9878450803883384</v>
      </c>
      <c r="J47" s="109">
        <f t="shared" si="13"/>
        <v>-3776294</v>
      </c>
      <c r="K47" s="109">
        <f t="shared" si="13"/>
        <v>-3568465.21</v>
      </c>
      <c r="L47" s="109">
        <f t="shared" si="13"/>
        <v>-3781210.75</v>
      </c>
      <c r="M47" s="109">
        <f t="shared" si="13"/>
        <v>-3575968</v>
      </c>
      <c r="N47" s="111" t="s">
        <v>221</v>
      </c>
    </row>
    <row r="48" spans="1:14" x14ac:dyDescent="0.3">
      <c r="A48" s="90" t="s">
        <v>43</v>
      </c>
      <c r="B48" s="3">
        <v>307911</v>
      </c>
      <c r="C48" s="3">
        <v>286114</v>
      </c>
      <c r="D48" s="3">
        <v>351871</v>
      </c>
      <c r="E48" s="91">
        <v>368016.91</v>
      </c>
      <c r="F48" s="91">
        <v>394039.71</v>
      </c>
      <c r="G48" s="91">
        <v>452615.84</v>
      </c>
      <c r="H48" s="92">
        <v>488605.39</v>
      </c>
      <c r="I48" s="101">
        <f>H48/J48</f>
        <v>1.1496597411764706</v>
      </c>
      <c r="J48" s="91">
        <v>425000</v>
      </c>
      <c r="K48" s="92">
        <v>469500</v>
      </c>
      <c r="L48" s="91">
        <v>623600</v>
      </c>
      <c r="M48" s="91">
        <v>631400</v>
      </c>
      <c r="N48" s="94" t="s">
        <v>222</v>
      </c>
    </row>
    <row r="49" spans="1:14" x14ac:dyDescent="0.3">
      <c r="A49" s="90" t="s">
        <v>44</v>
      </c>
      <c r="B49" s="3">
        <v>1657641</v>
      </c>
      <c r="C49" s="3">
        <v>1787321</v>
      </c>
      <c r="D49" s="3">
        <v>1722192</v>
      </c>
      <c r="E49" s="91">
        <v>1374308.01</v>
      </c>
      <c r="F49" s="91">
        <v>1202211.97</v>
      </c>
      <c r="G49" s="91">
        <v>1042371.88</v>
      </c>
      <c r="H49" s="92">
        <v>973592.01</v>
      </c>
      <c r="I49" s="101">
        <f t="shared" ref="I49:I55" si="14">H49/J49</f>
        <v>0.90031617669497288</v>
      </c>
      <c r="J49" s="91">
        <v>1081389</v>
      </c>
      <c r="K49" s="92">
        <v>899684</v>
      </c>
      <c r="L49" s="91">
        <v>940000</v>
      </c>
      <c r="M49" s="91">
        <v>940000</v>
      </c>
      <c r="N49" s="94" t="s">
        <v>223</v>
      </c>
    </row>
    <row r="50" spans="1:14" ht="13.2" customHeight="1" x14ac:dyDescent="0.3">
      <c r="A50" s="90" t="s">
        <v>45</v>
      </c>
      <c r="B50" s="3">
        <v>175231</v>
      </c>
      <c r="C50" s="3">
        <v>121270</v>
      </c>
      <c r="D50" s="3">
        <v>43611</v>
      </c>
      <c r="E50" s="91">
        <v>44379.72</v>
      </c>
      <c r="F50" s="91">
        <v>21167.5</v>
      </c>
      <c r="G50" s="91">
        <v>86504.24</v>
      </c>
      <c r="H50" s="92">
        <v>171133.9</v>
      </c>
      <c r="I50" s="101">
        <f t="shared" si="14"/>
        <v>1.1641761904761905</v>
      </c>
      <c r="J50" s="91">
        <v>147000</v>
      </c>
      <c r="K50" s="92">
        <v>237000</v>
      </c>
      <c r="L50" s="91">
        <v>152000</v>
      </c>
      <c r="M50" s="91">
        <v>212000</v>
      </c>
      <c r="N50" s="102" t="s">
        <v>224</v>
      </c>
    </row>
    <row r="51" spans="1:14" hidden="1" x14ac:dyDescent="0.3">
      <c r="A51" s="90" t="s">
        <v>46</v>
      </c>
      <c r="B51" s="3">
        <v>32683</v>
      </c>
      <c r="C51" s="3">
        <v>540</v>
      </c>
      <c r="D51" s="3">
        <v>1425</v>
      </c>
      <c r="E51" s="97"/>
      <c r="F51" s="97"/>
      <c r="G51" s="97"/>
      <c r="H51" s="98"/>
      <c r="I51" s="101" t="e">
        <f t="shared" si="14"/>
        <v>#DIV/0!</v>
      </c>
      <c r="J51" s="97"/>
      <c r="K51" s="98"/>
      <c r="L51" s="96"/>
      <c r="M51" s="96"/>
      <c r="N51" s="102" t="s">
        <v>225</v>
      </c>
    </row>
    <row r="52" spans="1:14" x14ac:dyDescent="0.3">
      <c r="A52" s="90" t="s">
        <v>18</v>
      </c>
      <c r="B52" s="3">
        <v>1663477</v>
      </c>
      <c r="C52" s="3">
        <v>495847</v>
      </c>
      <c r="D52" s="3">
        <v>921910</v>
      </c>
      <c r="E52" s="91">
        <v>1005190.09</v>
      </c>
      <c r="F52" s="91">
        <v>686371.53</v>
      </c>
      <c r="G52" s="91">
        <v>243353.26</v>
      </c>
      <c r="H52" s="92">
        <v>785461.11</v>
      </c>
      <c r="I52" s="101">
        <f t="shared" si="14"/>
        <v>1.1677982604817128</v>
      </c>
      <c r="J52" s="91">
        <v>672600</v>
      </c>
      <c r="K52" s="92">
        <v>1150429</v>
      </c>
      <c r="L52" s="91">
        <v>728457</v>
      </c>
      <c r="M52" s="91">
        <v>728457</v>
      </c>
      <c r="N52" s="102" t="s">
        <v>196</v>
      </c>
    </row>
    <row r="53" spans="1:14" x14ac:dyDescent="0.3">
      <c r="A53" s="90" t="s">
        <v>19</v>
      </c>
      <c r="B53" s="3">
        <v>12500</v>
      </c>
      <c r="C53" s="3">
        <v>25728</v>
      </c>
      <c r="D53" s="3">
        <v>25993</v>
      </c>
      <c r="E53" s="91">
        <v>7305</v>
      </c>
      <c r="F53" s="91">
        <v>9500</v>
      </c>
      <c r="G53" s="91">
        <v>12850</v>
      </c>
      <c r="H53" s="92">
        <v>7700</v>
      </c>
      <c r="I53" s="101">
        <f t="shared" si="14"/>
        <v>0.11578947368421053</v>
      </c>
      <c r="J53" s="91">
        <v>66500</v>
      </c>
      <c r="K53" s="92">
        <v>60000</v>
      </c>
      <c r="L53" s="91">
        <v>60000</v>
      </c>
      <c r="M53" s="91">
        <v>60000</v>
      </c>
      <c r="N53" s="102" t="s">
        <v>226</v>
      </c>
    </row>
    <row r="54" spans="1:14" x14ac:dyDescent="0.3">
      <c r="A54" s="90" t="s">
        <v>47</v>
      </c>
      <c r="B54" s="3">
        <v>12389</v>
      </c>
      <c r="C54" s="3">
        <v>7500</v>
      </c>
      <c r="D54" s="3">
        <v>8326</v>
      </c>
      <c r="E54" s="91">
        <v>9386.99</v>
      </c>
      <c r="F54" s="91">
        <v>21055.14</v>
      </c>
      <c r="G54" s="91">
        <v>10180</v>
      </c>
      <c r="H54" s="92">
        <v>9350</v>
      </c>
      <c r="I54" s="101">
        <f t="shared" si="14"/>
        <v>0.46750000000000003</v>
      </c>
      <c r="J54" s="91">
        <v>20000</v>
      </c>
      <c r="K54" s="92">
        <v>20000</v>
      </c>
      <c r="L54" s="91">
        <v>20000</v>
      </c>
      <c r="M54" s="91">
        <v>20000</v>
      </c>
      <c r="N54" s="94" t="s">
        <v>47</v>
      </c>
    </row>
    <row r="55" spans="1:14" ht="15" thickBot="1" x14ac:dyDescent="0.35">
      <c r="A55" s="90" t="s">
        <v>48</v>
      </c>
      <c r="B55" s="3">
        <v>51000</v>
      </c>
      <c r="C55" s="3">
        <v>78000</v>
      </c>
      <c r="D55" s="3">
        <v>161180</v>
      </c>
      <c r="E55" s="91">
        <v>136340</v>
      </c>
      <c r="F55" s="91">
        <v>127340</v>
      </c>
      <c r="G55" s="91">
        <v>302778</v>
      </c>
      <c r="H55" s="92">
        <v>140630</v>
      </c>
      <c r="I55" s="101">
        <f t="shared" si="14"/>
        <v>0.64538779256539702</v>
      </c>
      <c r="J55" s="91">
        <v>217900</v>
      </c>
      <c r="K55" s="92">
        <v>142505.10999999999</v>
      </c>
      <c r="L55" s="91">
        <v>142505.10999999999</v>
      </c>
      <c r="M55" s="91">
        <v>142505.10999999999</v>
      </c>
      <c r="N55" s="102" t="s">
        <v>227</v>
      </c>
    </row>
    <row r="56" spans="1:14" ht="15" thickBot="1" x14ac:dyDescent="0.35">
      <c r="A56" s="106" t="s">
        <v>49</v>
      </c>
      <c r="B56" s="7">
        <f t="shared" ref="B56:C56" si="15">SUM(B48:B55)</f>
        <v>3912832</v>
      </c>
      <c r="C56" s="7">
        <f t="shared" si="15"/>
        <v>2802320</v>
      </c>
      <c r="D56" s="7">
        <f>SUM(D48:D55)</f>
        <v>3236508</v>
      </c>
      <c r="E56" s="7">
        <v>2944926.72</v>
      </c>
      <c r="F56" s="7">
        <v>2461685.85</v>
      </c>
      <c r="G56" s="7">
        <f>SUM(G48:G55)</f>
        <v>2150653.2199999997</v>
      </c>
      <c r="H56" s="7">
        <f t="shared" ref="H56:M56" si="16">SUM(H48:H55)</f>
        <v>2576472.4099999997</v>
      </c>
      <c r="I56" s="8">
        <f>H56/J56</f>
        <v>0.97950242720753455</v>
      </c>
      <c r="J56" s="7">
        <f t="shared" si="16"/>
        <v>2630389</v>
      </c>
      <c r="K56" s="7">
        <f t="shared" si="16"/>
        <v>2979118.11</v>
      </c>
      <c r="L56" s="7">
        <f t="shared" si="16"/>
        <v>2666562.11</v>
      </c>
      <c r="M56" s="7">
        <f t="shared" si="16"/>
        <v>2734362.11</v>
      </c>
      <c r="N56" s="107" t="s">
        <v>228</v>
      </c>
    </row>
    <row r="57" spans="1:14" x14ac:dyDescent="0.3">
      <c r="A57" s="90" t="s">
        <v>21</v>
      </c>
      <c r="B57" s="3">
        <v>129639</v>
      </c>
      <c r="C57" s="3">
        <v>284630</v>
      </c>
      <c r="D57" s="3">
        <v>308968</v>
      </c>
      <c r="E57" s="91">
        <v>251263.43</v>
      </c>
      <c r="F57" s="91">
        <v>204044.82</v>
      </c>
      <c r="G57" s="91">
        <v>202253.06</v>
      </c>
      <c r="H57" s="92">
        <v>198736.08</v>
      </c>
      <c r="I57" s="101">
        <f>H57/J57</f>
        <v>0.97755081160846036</v>
      </c>
      <c r="J57" s="91">
        <v>203300</v>
      </c>
      <c r="K57" s="92">
        <v>202300</v>
      </c>
      <c r="L57" s="91">
        <v>218800</v>
      </c>
      <c r="M57" s="91">
        <v>236300</v>
      </c>
      <c r="N57" s="102" t="s">
        <v>199</v>
      </c>
    </row>
    <row r="58" spans="1:14" x14ac:dyDescent="0.3">
      <c r="A58" s="90" t="s">
        <v>22</v>
      </c>
      <c r="B58" s="3">
        <v>270522</v>
      </c>
      <c r="C58" s="3">
        <v>240435</v>
      </c>
      <c r="D58" s="3">
        <v>32680</v>
      </c>
      <c r="E58" s="91">
        <v>53100.26</v>
      </c>
      <c r="F58" s="91">
        <v>60219.48</v>
      </c>
      <c r="G58" s="91">
        <v>27078</v>
      </c>
      <c r="H58" s="92">
        <v>61748.37</v>
      </c>
      <c r="I58" s="101">
        <f t="shared" ref="I58:I59" si="17">H58/J58</f>
        <v>1.1650635849056605</v>
      </c>
      <c r="J58" s="91">
        <v>53000</v>
      </c>
      <c r="K58" s="92">
        <v>30500</v>
      </c>
      <c r="L58" s="91">
        <v>58000</v>
      </c>
      <c r="M58" s="91">
        <v>68000</v>
      </c>
      <c r="N58" s="102" t="s">
        <v>200</v>
      </c>
    </row>
    <row r="59" spans="1:14" ht="15" thickBot="1" x14ac:dyDescent="0.35">
      <c r="A59" s="90" t="s">
        <v>50</v>
      </c>
      <c r="B59" s="3">
        <v>284753</v>
      </c>
      <c r="C59" s="3">
        <v>96553</v>
      </c>
      <c r="D59" s="3">
        <v>180779</v>
      </c>
      <c r="E59" s="91">
        <v>284573.93</v>
      </c>
      <c r="F59" s="91">
        <v>359878.74</v>
      </c>
      <c r="G59" s="91">
        <v>148943</v>
      </c>
      <c r="H59" s="92">
        <v>96750.61</v>
      </c>
      <c r="I59" s="101">
        <f t="shared" si="17"/>
        <v>0.77400488000000001</v>
      </c>
      <c r="J59" s="91">
        <v>125000</v>
      </c>
      <c r="K59" s="92">
        <v>201000</v>
      </c>
      <c r="L59" s="91">
        <v>200000</v>
      </c>
      <c r="M59" s="91">
        <v>200000</v>
      </c>
      <c r="N59" s="102" t="s">
        <v>198</v>
      </c>
    </row>
    <row r="60" spans="1:14" ht="15" thickBot="1" x14ac:dyDescent="0.35">
      <c r="A60" s="88" t="s">
        <v>51</v>
      </c>
      <c r="B60" s="99">
        <f t="shared" ref="B60:C60" si="18">SUM(B57:B59)</f>
        <v>684914</v>
      </c>
      <c r="C60" s="99">
        <f t="shared" si="18"/>
        <v>621618</v>
      </c>
      <c r="D60" s="99">
        <f>SUM(D57:D59)</f>
        <v>522427</v>
      </c>
      <c r="E60" s="7">
        <v>588937.62</v>
      </c>
      <c r="F60" s="7">
        <v>624143.04</v>
      </c>
      <c r="G60" s="7">
        <f>SUM(G57:G59)</f>
        <v>378274.06</v>
      </c>
      <c r="H60" s="7">
        <f t="shared" ref="H60:M60" si="19">SUM(H57:H59)</f>
        <v>357235.06</v>
      </c>
      <c r="I60" s="8">
        <f>H60/J60</f>
        <v>0.93688712300026222</v>
      </c>
      <c r="J60" s="7">
        <f t="shared" si="19"/>
        <v>381300</v>
      </c>
      <c r="K60" s="7">
        <f t="shared" si="19"/>
        <v>433800</v>
      </c>
      <c r="L60" s="7">
        <f t="shared" si="19"/>
        <v>476800</v>
      </c>
      <c r="M60" s="7">
        <f t="shared" si="19"/>
        <v>504300</v>
      </c>
      <c r="N60" s="107" t="s">
        <v>229</v>
      </c>
    </row>
    <row r="61" spans="1:14" x14ac:dyDescent="0.3">
      <c r="A61" s="90" t="s">
        <v>52</v>
      </c>
      <c r="B61" s="112">
        <v>975</v>
      </c>
      <c r="C61" s="112">
        <v>975</v>
      </c>
      <c r="D61" s="3">
        <v>900</v>
      </c>
      <c r="E61" s="91">
        <v>1954</v>
      </c>
      <c r="F61" s="91">
        <v>1125</v>
      </c>
      <c r="G61" s="91">
        <v>1725</v>
      </c>
      <c r="H61" s="92">
        <v>3754.82</v>
      </c>
      <c r="I61" s="101">
        <f>H61/J61</f>
        <v>1.87741</v>
      </c>
      <c r="J61" s="91">
        <v>2000</v>
      </c>
      <c r="K61" s="92">
        <v>2000</v>
      </c>
      <c r="L61" s="91">
        <v>2000</v>
      </c>
      <c r="M61" s="91">
        <v>2000</v>
      </c>
      <c r="N61" s="113" t="s">
        <v>230</v>
      </c>
    </row>
    <row r="62" spans="1:14" x14ac:dyDescent="0.3">
      <c r="A62" s="90" t="s">
        <v>53</v>
      </c>
      <c r="B62" s="112">
        <v>3849</v>
      </c>
      <c r="C62" s="112">
        <v>4266</v>
      </c>
      <c r="D62" s="3">
        <v>3888</v>
      </c>
      <c r="E62" s="91">
        <v>3507.62</v>
      </c>
      <c r="F62" s="91">
        <v>3690.05</v>
      </c>
      <c r="G62" s="91">
        <v>3598</v>
      </c>
      <c r="H62" s="92">
        <v>4556.1000000000004</v>
      </c>
      <c r="I62" s="101">
        <f t="shared" ref="I62:I67" si="20">H62/J62</f>
        <v>1.1390250000000002</v>
      </c>
      <c r="J62" s="91">
        <v>4000</v>
      </c>
      <c r="K62" s="92">
        <v>4000</v>
      </c>
      <c r="L62" s="91">
        <v>4000</v>
      </c>
      <c r="M62" s="91">
        <v>4000</v>
      </c>
      <c r="N62" s="113" t="s">
        <v>239</v>
      </c>
    </row>
    <row r="63" spans="1:14" x14ac:dyDescent="0.3">
      <c r="A63" s="90" t="s">
        <v>54</v>
      </c>
      <c r="B63" s="112">
        <v>953</v>
      </c>
      <c r="C63" s="112">
        <v>49</v>
      </c>
      <c r="D63" s="3">
        <v>112</v>
      </c>
      <c r="E63" s="91">
        <v>531.53</v>
      </c>
      <c r="F63" s="91">
        <v>5016.13</v>
      </c>
      <c r="G63" s="91">
        <f>108900.13-107099</f>
        <v>1801.1300000000047</v>
      </c>
      <c r="H63" s="92">
        <v>2556.58</v>
      </c>
      <c r="I63" s="101">
        <f t="shared" si="20"/>
        <v>6.3914499999999999</v>
      </c>
      <c r="J63" s="91">
        <v>400</v>
      </c>
      <c r="K63" s="92">
        <v>400</v>
      </c>
      <c r="L63" s="91">
        <v>400</v>
      </c>
      <c r="M63" s="91">
        <v>400</v>
      </c>
      <c r="N63" s="113" t="s">
        <v>240</v>
      </c>
    </row>
    <row r="64" spans="1:14" x14ac:dyDescent="0.3">
      <c r="A64" s="90" t="s">
        <v>55</v>
      </c>
      <c r="B64" s="112">
        <v>336399</v>
      </c>
      <c r="C64" s="112">
        <v>319902</v>
      </c>
      <c r="D64" s="3">
        <v>219676</v>
      </c>
      <c r="E64" s="91">
        <v>267791.86</v>
      </c>
      <c r="F64" s="91">
        <v>246880.99</v>
      </c>
      <c r="G64" s="91">
        <v>204332.83</v>
      </c>
      <c r="H64" s="92">
        <v>318246.55</v>
      </c>
      <c r="I64" s="101">
        <f t="shared" si="20"/>
        <v>1.6361112824783819</v>
      </c>
      <c r="J64" s="91">
        <v>194514</v>
      </c>
      <c r="K64" s="92">
        <v>228050</v>
      </c>
      <c r="L64" s="91">
        <v>142514</v>
      </c>
      <c r="M64" s="91">
        <v>142514</v>
      </c>
      <c r="N64" s="113" t="s">
        <v>237</v>
      </c>
    </row>
    <row r="65" spans="1:14" ht="13.8" customHeight="1" x14ac:dyDescent="0.3">
      <c r="A65" s="90" t="s">
        <v>56</v>
      </c>
      <c r="B65" s="112">
        <v>121419</v>
      </c>
      <c r="C65" s="112">
        <v>134664</v>
      </c>
      <c r="D65" s="3">
        <v>126441</v>
      </c>
      <c r="E65" s="91">
        <v>144796.74</v>
      </c>
      <c r="F65" s="91">
        <v>142425.85999999999</v>
      </c>
      <c r="G65" s="91">
        <v>109106.05</v>
      </c>
      <c r="H65" s="92">
        <v>90207.8</v>
      </c>
      <c r="I65" s="101">
        <f t="shared" si="20"/>
        <v>0.99897895902547074</v>
      </c>
      <c r="J65" s="91">
        <v>90300</v>
      </c>
      <c r="K65" s="92">
        <v>124284</v>
      </c>
      <c r="L65" s="91">
        <v>124284</v>
      </c>
      <c r="M65" s="91">
        <v>54932</v>
      </c>
      <c r="N65" s="113" t="s">
        <v>238</v>
      </c>
    </row>
    <row r="66" spans="1:14" hidden="1" x14ac:dyDescent="0.3">
      <c r="A66" s="90" t="s">
        <v>57</v>
      </c>
      <c r="B66" s="112"/>
      <c r="C66" s="112"/>
      <c r="D66" s="3">
        <v>0</v>
      </c>
      <c r="E66" s="97"/>
      <c r="F66" s="97"/>
      <c r="G66" s="97"/>
      <c r="H66" s="98"/>
      <c r="I66" s="101" t="e">
        <f t="shared" si="20"/>
        <v>#DIV/0!</v>
      </c>
      <c r="J66" s="97"/>
      <c r="K66" s="98"/>
      <c r="L66" s="96"/>
      <c r="M66" s="96"/>
      <c r="N66" s="113" t="s">
        <v>231</v>
      </c>
    </row>
    <row r="67" spans="1:14" ht="15" thickBot="1" x14ac:dyDescent="0.35">
      <c r="A67" s="90" t="s">
        <v>58</v>
      </c>
      <c r="B67" s="112">
        <v>153111</v>
      </c>
      <c r="C67" s="112">
        <v>9180</v>
      </c>
      <c r="D67" s="3">
        <v>674786</v>
      </c>
      <c r="E67" s="91">
        <v>381822.59</v>
      </c>
      <c r="F67" s="91">
        <v>12817.3</v>
      </c>
      <c r="G67" s="91">
        <f>107099+1824.22</f>
        <v>108923.22</v>
      </c>
      <c r="H67" s="92">
        <v>658474.75</v>
      </c>
      <c r="I67" s="101">
        <f t="shared" si="20"/>
        <v>1.0412923431636576</v>
      </c>
      <c r="J67" s="91">
        <v>632363</v>
      </c>
      <c r="K67" s="92">
        <v>10000</v>
      </c>
      <c r="L67" s="91">
        <v>10000</v>
      </c>
      <c r="M67" s="91">
        <v>10000</v>
      </c>
      <c r="N67" s="113" t="s">
        <v>232</v>
      </c>
    </row>
    <row r="68" spans="1:14" ht="15" thickBot="1" x14ac:dyDescent="0.35">
      <c r="A68" s="88" t="s">
        <v>59</v>
      </c>
      <c r="B68" s="99">
        <f>SUM(B61:B67)</f>
        <v>616706</v>
      </c>
      <c r="C68" s="99">
        <f>SUM(C61:C67)</f>
        <v>469036</v>
      </c>
      <c r="D68" s="99">
        <f>SUM(D61:D67)</f>
        <v>1025803</v>
      </c>
      <c r="E68" s="7">
        <v>800404.34</v>
      </c>
      <c r="F68" s="7">
        <v>411955.33</v>
      </c>
      <c r="G68" s="7">
        <f>SUM(G61:G67)</f>
        <v>429486.23</v>
      </c>
      <c r="H68" s="7">
        <f>SUM(H61:H67)</f>
        <v>1077796.6000000001</v>
      </c>
      <c r="I68" s="8">
        <f>H68/J68</f>
        <v>1.166980771500373</v>
      </c>
      <c r="J68" s="7">
        <f>SUM(J61:J67)</f>
        <v>923577</v>
      </c>
      <c r="K68" s="7">
        <f>SUM(K61:K67)</f>
        <v>368734</v>
      </c>
      <c r="L68" s="7">
        <f t="shared" ref="L68:M68" si="21">SUM(L61:L67)</f>
        <v>283198</v>
      </c>
      <c r="M68" s="7">
        <f t="shared" si="21"/>
        <v>213846</v>
      </c>
      <c r="N68" s="100" t="s">
        <v>233</v>
      </c>
    </row>
    <row r="69" spans="1:14" x14ac:dyDescent="0.3">
      <c r="A69" s="108" t="s">
        <v>42</v>
      </c>
      <c r="B69" s="4">
        <f>B47</f>
        <v>-4599611</v>
      </c>
      <c r="C69" s="4">
        <f>C47</f>
        <v>-4404995</v>
      </c>
      <c r="D69" s="4">
        <f>D47</f>
        <v>-4330922</v>
      </c>
      <c r="E69" s="109">
        <v>-4057732.63</v>
      </c>
      <c r="F69" s="109">
        <v>-3897454.54</v>
      </c>
      <c r="G69" s="109">
        <f>G47</f>
        <v>-3572336.28</v>
      </c>
      <c r="H69" s="109">
        <f>H47</f>
        <v>-3730393.45</v>
      </c>
      <c r="I69" s="110">
        <f>H69/J69</f>
        <v>0.9878450803883384</v>
      </c>
      <c r="J69" s="109">
        <f>J47</f>
        <v>-3776294</v>
      </c>
      <c r="K69" s="109">
        <f>K47</f>
        <v>-3568465.21</v>
      </c>
      <c r="L69" s="109">
        <f t="shared" ref="L69:M69" si="22">L47</f>
        <v>-3781210.75</v>
      </c>
      <c r="M69" s="109">
        <f t="shared" si="22"/>
        <v>-3575968</v>
      </c>
      <c r="N69" s="114" t="s">
        <v>234</v>
      </c>
    </row>
    <row r="70" spans="1:14" x14ac:dyDescent="0.3">
      <c r="A70" s="108" t="s">
        <v>60</v>
      </c>
      <c r="B70" s="115">
        <f>B68+B60+B56</f>
        <v>5214452</v>
      </c>
      <c r="C70" s="115">
        <f>C68+C60+C56</f>
        <v>3892974</v>
      </c>
      <c r="D70" s="115">
        <f>D68+D60+D56</f>
        <v>4784738</v>
      </c>
      <c r="E70" s="109">
        <v>4334268.68</v>
      </c>
      <c r="F70" s="109">
        <v>3497784.22</v>
      </c>
      <c r="G70" s="109">
        <f>G68+G60+G56</f>
        <v>2958413.51</v>
      </c>
      <c r="H70" s="109">
        <f>H68+H60+H56</f>
        <v>4011504.07</v>
      </c>
      <c r="I70" s="110">
        <f t="shared" ref="I70:I71" si="23">H70/J70</f>
        <v>1.0193730411108168</v>
      </c>
      <c r="J70" s="109">
        <f>J68+J60+J56</f>
        <v>3935266</v>
      </c>
      <c r="K70" s="109">
        <f>K68+K60+K56</f>
        <v>3781652.11</v>
      </c>
      <c r="L70" s="109">
        <f t="shared" ref="L70:M70" si="24">L68+L60+L56</f>
        <v>3426560.11</v>
      </c>
      <c r="M70" s="109">
        <f t="shared" si="24"/>
        <v>3452508.11</v>
      </c>
      <c r="N70" s="114" t="s">
        <v>235</v>
      </c>
    </row>
    <row r="71" spans="1:14" ht="15" thickBot="1" x14ac:dyDescent="0.35">
      <c r="A71" s="116" t="s">
        <v>61</v>
      </c>
      <c r="B71" s="117">
        <f t="shared" ref="B71:C71" si="25">B70+B69</f>
        <v>614841</v>
      </c>
      <c r="C71" s="118">
        <f t="shared" si="25"/>
        <v>-512021</v>
      </c>
      <c r="D71" s="117">
        <f>D70+D69</f>
        <v>453816</v>
      </c>
      <c r="E71" s="119">
        <v>276536.05</v>
      </c>
      <c r="F71" s="120">
        <v>-399670.32</v>
      </c>
      <c r="G71" s="120">
        <f>G70+G69</f>
        <v>-613922.77</v>
      </c>
      <c r="H71" s="119">
        <f t="shared" ref="H71:M71" si="26">H70+H69</f>
        <v>281110.61999999965</v>
      </c>
      <c r="I71" s="121">
        <f t="shared" si="23"/>
        <v>1.7683027199758425</v>
      </c>
      <c r="J71" s="119">
        <f t="shared" si="26"/>
        <v>158972</v>
      </c>
      <c r="K71" s="119">
        <f t="shared" si="26"/>
        <v>213186.89999999991</v>
      </c>
      <c r="L71" s="119">
        <f t="shared" si="26"/>
        <v>-354650.64000000013</v>
      </c>
      <c r="M71" s="119">
        <f t="shared" si="26"/>
        <v>-123459.89000000013</v>
      </c>
      <c r="N71" s="122" t="s">
        <v>236</v>
      </c>
    </row>
    <row r="72" spans="1:14" ht="15" thickTop="1" x14ac:dyDescent="0.3">
      <c r="A72" s="1" t="s">
        <v>62</v>
      </c>
      <c r="B72" s="1"/>
      <c r="C72" s="1"/>
      <c r="D72" s="1"/>
      <c r="E72" s="1"/>
      <c r="F72" s="1"/>
      <c r="G72" s="1"/>
      <c r="H72" s="1"/>
      <c r="I72" s="1"/>
    </row>
  </sheetData>
  <phoneticPr fontId="15" type="noConversion"/>
  <pageMargins left="0.7" right="0.7" top="0.75" bottom="0.75" header="0.3" footer="0.3"/>
  <pageSetup paperSize="9" scale="77"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EAE9-3F59-49C6-91A1-14D734470E28}">
  <dimension ref="A1:R86"/>
  <sheetViews>
    <sheetView topLeftCell="C69" workbookViewId="0">
      <selection activeCell="U82" sqref="U82"/>
    </sheetView>
  </sheetViews>
  <sheetFormatPr baseColWidth="10" defaultColWidth="10.88671875" defaultRowHeight="14.4" x14ac:dyDescent="0.3"/>
  <cols>
    <col min="1" max="1" width="19.6640625" bestFit="1" customWidth="1"/>
    <col min="6" max="6" width="11.6640625" bestFit="1" customWidth="1"/>
  </cols>
  <sheetData>
    <row r="1" spans="1:18" ht="21" x14ac:dyDescent="0.4">
      <c r="E1" s="6" t="s">
        <v>68</v>
      </c>
    </row>
    <row r="4" spans="1:18" x14ac:dyDescent="0.3">
      <c r="B4" s="5">
        <v>43800</v>
      </c>
      <c r="C4" s="5">
        <v>44166</v>
      </c>
      <c r="D4" s="5">
        <v>44531</v>
      </c>
      <c r="E4" s="5">
        <v>44896</v>
      </c>
      <c r="F4" s="5">
        <v>45261</v>
      </c>
      <c r="G4" s="5">
        <v>45627</v>
      </c>
      <c r="H4" s="5">
        <v>45992</v>
      </c>
      <c r="L4" s="5">
        <v>43800</v>
      </c>
      <c r="M4" s="5">
        <v>44166</v>
      </c>
      <c r="N4" s="5">
        <v>44531</v>
      </c>
      <c r="O4" s="5">
        <v>44896</v>
      </c>
      <c r="P4" s="5">
        <v>45261</v>
      </c>
      <c r="Q4" s="5">
        <v>45627</v>
      </c>
      <c r="R4" s="5">
        <v>45992</v>
      </c>
    </row>
    <row r="5" spans="1:18" x14ac:dyDescent="0.3">
      <c r="K5" t="s">
        <v>61</v>
      </c>
      <c r="L5">
        <v>614841</v>
      </c>
      <c r="M5">
        <v>-512021</v>
      </c>
      <c r="N5">
        <v>453816</v>
      </c>
      <c r="O5">
        <v>276536.05</v>
      </c>
      <c r="P5">
        <v>-399670.32</v>
      </c>
      <c r="Q5">
        <v>-613922.77</v>
      </c>
      <c r="R5">
        <v>281111</v>
      </c>
    </row>
    <row r="6" spans="1:18" x14ac:dyDescent="0.3">
      <c r="A6" t="s">
        <v>10</v>
      </c>
      <c r="B6">
        <v>1616511</v>
      </c>
      <c r="C6">
        <v>1618618</v>
      </c>
      <c r="D6">
        <v>1388544</v>
      </c>
      <c r="E6">
        <v>1473744.04</v>
      </c>
      <c r="F6">
        <v>1434679.95</v>
      </c>
      <c r="G6">
        <v>1392737.46</v>
      </c>
      <c r="H6">
        <v>1269474</v>
      </c>
    </row>
    <row r="7" spans="1:18" x14ac:dyDescent="0.3">
      <c r="A7" t="s">
        <v>14</v>
      </c>
      <c r="B7">
        <v>644311</v>
      </c>
      <c r="C7">
        <v>418519</v>
      </c>
      <c r="D7">
        <v>363491</v>
      </c>
      <c r="E7">
        <v>353054.28</v>
      </c>
      <c r="F7">
        <v>404795.32</v>
      </c>
      <c r="G7">
        <v>414805.62</v>
      </c>
      <c r="H7">
        <v>451387</v>
      </c>
    </row>
    <row r="8" spans="1:18" x14ac:dyDescent="0.3">
      <c r="A8" t="s">
        <v>26</v>
      </c>
      <c r="B8">
        <v>1731401</v>
      </c>
      <c r="C8">
        <v>1901176</v>
      </c>
      <c r="D8">
        <v>1946626</v>
      </c>
      <c r="E8">
        <v>1460232.51</v>
      </c>
      <c r="F8">
        <v>1331910.3999999999</v>
      </c>
      <c r="G8">
        <v>1116580</v>
      </c>
      <c r="H8">
        <v>1370339</v>
      </c>
    </row>
    <row r="9" spans="1:18" x14ac:dyDescent="0.3">
      <c r="A9" t="s">
        <v>41</v>
      </c>
      <c r="B9">
        <v>607388</v>
      </c>
      <c r="C9">
        <v>466883</v>
      </c>
      <c r="D9">
        <v>634847</v>
      </c>
      <c r="E9">
        <v>770701.8</v>
      </c>
      <c r="F9">
        <v>726068.87</v>
      </c>
      <c r="G9">
        <v>648213.19999999995</v>
      </c>
      <c r="H9">
        <v>639193</v>
      </c>
    </row>
    <row r="10" spans="1:18" x14ac:dyDescent="0.3">
      <c r="A10" t="s">
        <v>49</v>
      </c>
      <c r="B10">
        <v>3912832</v>
      </c>
      <c r="C10">
        <v>2802320</v>
      </c>
      <c r="D10">
        <v>3236508</v>
      </c>
      <c r="E10">
        <v>2944926.72</v>
      </c>
      <c r="F10">
        <v>2461685.85</v>
      </c>
      <c r="G10">
        <v>2150653.2199999997</v>
      </c>
      <c r="H10">
        <v>2576472</v>
      </c>
    </row>
    <row r="11" spans="1:18" x14ac:dyDescent="0.3">
      <c r="A11" t="s">
        <v>51</v>
      </c>
      <c r="B11">
        <v>684914</v>
      </c>
      <c r="C11">
        <v>621618</v>
      </c>
      <c r="D11">
        <v>522427</v>
      </c>
      <c r="E11">
        <v>588937.62</v>
      </c>
      <c r="F11">
        <v>624143.04</v>
      </c>
      <c r="G11">
        <v>378274.06</v>
      </c>
      <c r="H11">
        <v>357235</v>
      </c>
    </row>
    <row r="12" spans="1:18" x14ac:dyDescent="0.3">
      <c r="A12" t="s">
        <v>59</v>
      </c>
      <c r="B12">
        <v>616706</v>
      </c>
      <c r="C12">
        <v>469036</v>
      </c>
      <c r="D12">
        <v>1025803</v>
      </c>
      <c r="E12">
        <v>800404.34</v>
      </c>
      <c r="F12">
        <v>411955.33</v>
      </c>
      <c r="G12">
        <v>429486.22999999992</v>
      </c>
      <c r="H12">
        <v>1077797</v>
      </c>
    </row>
    <row r="13" spans="1:18" x14ac:dyDescent="0.3">
      <c r="A13" t="s">
        <v>42</v>
      </c>
      <c r="B13">
        <v>4599611</v>
      </c>
      <c r="C13">
        <v>4404995</v>
      </c>
      <c r="D13">
        <v>4330922</v>
      </c>
      <c r="E13">
        <v>4057732.63</v>
      </c>
      <c r="F13">
        <v>3897454.54</v>
      </c>
      <c r="G13">
        <v>3572336.28</v>
      </c>
      <c r="H13">
        <v>3730393</v>
      </c>
    </row>
    <row r="14" spans="1:18" x14ac:dyDescent="0.3">
      <c r="A14" t="s">
        <v>60</v>
      </c>
      <c r="B14">
        <v>5214452</v>
      </c>
      <c r="C14">
        <v>3892974</v>
      </c>
      <c r="D14">
        <v>4784738</v>
      </c>
      <c r="E14">
        <v>4334268.68</v>
      </c>
      <c r="F14">
        <v>3497784.22</v>
      </c>
      <c r="G14">
        <v>2958413.51</v>
      </c>
      <c r="H14">
        <v>4011504</v>
      </c>
    </row>
    <row r="15" spans="1:18" x14ac:dyDescent="0.3">
      <c r="A15" t="s">
        <v>61</v>
      </c>
      <c r="B15">
        <v>614841</v>
      </c>
      <c r="C15">
        <v>-512021</v>
      </c>
      <c r="D15">
        <v>451230</v>
      </c>
      <c r="E15">
        <v>276536.05</v>
      </c>
      <c r="F15">
        <v>-399670.32</v>
      </c>
      <c r="G15">
        <v>-613922.77</v>
      </c>
      <c r="H15">
        <v>281111</v>
      </c>
    </row>
    <row r="18" spans="1:18" x14ac:dyDescent="0.3">
      <c r="B18" s="5">
        <v>43800</v>
      </c>
      <c r="C18" s="5">
        <v>44166</v>
      </c>
      <c r="D18" s="5">
        <v>44531</v>
      </c>
      <c r="E18" s="5">
        <v>44896</v>
      </c>
      <c r="F18" s="5">
        <v>45261</v>
      </c>
      <c r="G18" s="5">
        <v>45627</v>
      </c>
      <c r="H18" s="5">
        <v>45992</v>
      </c>
    </row>
    <row r="19" spans="1:18" x14ac:dyDescent="0.3">
      <c r="A19" t="s">
        <v>60</v>
      </c>
      <c r="B19">
        <v>5214452</v>
      </c>
      <c r="C19">
        <v>3892974</v>
      </c>
      <c r="D19">
        <v>4784738</v>
      </c>
      <c r="E19">
        <v>4334268.68</v>
      </c>
      <c r="F19">
        <v>3497784.22</v>
      </c>
      <c r="G19">
        <v>2958413.51</v>
      </c>
      <c r="H19">
        <v>4011504</v>
      </c>
    </row>
    <row r="25" spans="1:18" x14ac:dyDescent="0.3">
      <c r="L25" s="5">
        <v>43800</v>
      </c>
      <c r="M25" s="5">
        <v>44166</v>
      </c>
      <c r="N25" s="5">
        <v>44531</v>
      </c>
      <c r="O25" s="5">
        <v>44896</v>
      </c>
      <c r="P25" s="5">
        <v>45261</v>
      </c>
      <c r="Q25" s="5">
        <v>45627</v>
      </c>
      <c r="R25" s="5">
        <v>45992</v>
      </c>
    </row>
    <row r="26" spans="1:18" x14ac:dyDescent="0.3">
      <c r="K26" t="s">
        <v>10</v>
      </c>
      <c r="L26">
        <v>1616511</v>
      </c>
      <c r="M26">
        <v>1618618</v>
      </c>
      <c r="N26">
        <v>1388544</v>
      </c>
      <c r="O26">
        <v>1473744.04</v>
      </c>
      <c r="P26">
        <v>1434679.95</v>
      </c>
      <c r="Q26">
        <v>1392737.46</v>
      </c>
      <c r="R26">
        <v>1272372.92</v>
      </c>
    </row>
    <row r="38" spans="1:18" x14ac:dyDescent="0.3">
      <c r="B38" s="5">
        <v>43800</v>
      </c>
      <c r="C38" s="5">
        <v>44166</v>
      </c>
      <c r="D38" s="5">
        <v>44531</v>
      </c>
      <c r="E38" s="5">
        <v>44896</v>
      </c>
      <c r="F38" s="5">
        <v>45261</v>
      </c>
      <c r="G38" s="5">
        <v>45627</v>
      </c>
      <c r="H38" s="5">
        <v>45992</v>
      </c>
    </row>
    <row r="39" spans="1:18" x14ac:dyDescent="0.3">
      <c r="A39" t="s">
        <v>42</v>
      </c>
      <c r="B39">
        <v>4599611</v>
      </c>
      <c r="C39">
        <v>4405196</v>
      </c>
      <c r="D39">
        <v>4333508</v>
      </c>
      <c r="E39">
        <v>4057732.63</v>
      </c>
      <c r="F39">
        <v>3897454.54</v>
      </c>
      <c r="G39">
        <v>3572336.28</v>
      </c>
      <c r="H39">
        <v>3730393</v>
      </c>
    </row>
    <row r="45" spans="1:18" x14ac:dyDescent="0.3">
      <c r="L45" s="5">
        <v>43800</v>
      </c>
      <c r="M45" s="5">
        <v>44166</v>
      </c>
      <c r="N45" s="5">
        <v>44531</v>
      </c>
      <c r="O45" s="5">
        <v>44896</v>
      </c>
      <c r="P45" s="5">
        <v>45261</v>
      </c>
      <c r="Q45" s="5">
        <v>45627</v>
      </c>
      <c r="R45" s="5">
        <v>45992</v>
      </c>
    </row>
    <row r="46" spans="1:18" x14ac:dyDescent="0.3">
      <c r="K46" t="s">
        <v>14</v>
      </c>
      <c r="L46">
        <v>644311</v>
      </c>
      <c r="M46">
        <v>418519</v>
      </c>
      <c r="N46">
        <v>363491</v>
      </c>
      <c r="O46">
        <v>353054.28</v>
      </c>
      <c r="P46">
        <v>404795.32</v>
      </c>
      <c r="Q46">
        <v>414805.62</v>
      </c>
      <c r="R46">
        <v>435237.01</v>
      </c>
    </row>
    <row r="58" spans="1:18" x14ac:dyDescent="0.3">
      <c r="B58" s="5">
        <v>43800</v>
      </c>
      <c r="C58" s="5">
        <v>44166</v>
      </c>
      <c r="D58" s="5">
        <v>44531</v>
      </c>
      <c r="E58" s="5">
        <v>44896</v>
      </c>
      <c r="F58" s="5">
        <v>45261</v>
      </c>
      <c r="G58" s="5">
        <v>45627</v>
      </c>
      <c r="H58" s="5">
        <v>45992</v>
      </c>
    </row>
    <row r="59" spans="1:18" x14ac:dyDescent="0.3">
      <c r="A59" t="s">
        <v>41</v>
      </c>
      <c r="B59">
        <v>607388</v>
      </c>
      <c r="C59">
        <v>466883</v>
      </c>
      <c r="D59">
        <v>634847</v>
      </c>
      <c r="E59">
        <v>770701.8</v>
      </c>
      <c r="F59">
        <v>726068.87</v>
      </c>
      <c r="G59">
        <v>648213.19999999995</v>
      </c>
      <c r="H59">
        <v>647324.91</v>
      </c>
    </row>
    <row r="64" spans="1:18" x14ac:dyDescent="0.3">
      <c r="L64" s="5">
        <v>43800</v>
      </c>
      <c r="M64" s="5">
        <v>44166</v>
      </c>
      <c r="N64" s="5">
        <v>44531</v>
      </c>
      <c r="O64" s="5">
        <v>44896</v>
      </c>
      <c r="P64" s="5">
        <v>45261</v>
      </c>
      <c r="Q64" s="5">
        <v>45627</v>
      </c>
      <c r="R64" s="5">
        <v>45992</v>
      </c>
    </row>
    <row r="65" spans="11:18" x14ac:dyDescent="0.3">
      <c r="K65" t="s">
        <v>26</v>
      </c>
      <c r="L65">
        <v>1731401</v>
      </c>
      <c r="M65">
        <v>1901176</v>
      </c>
      <c r="N65">
        <v>1946626</v>
      </c>
      <c r="O65">
        <v>1460232.51</v>
      </c>
      <c r="P65">
        <v>1331910.3999999999</v>
      </c>
      <c r="Q65">
        <v>1116580</v>
      </c>
      <c r="R65">
        <v>1412609.23</v>
      </c>
    </row>
    <row r="83" spans="1:12" x14ac:dyDescent="0.3">
      <c r="A83" t="s">
        <v>10</v>
      </c>
      <c r="B83">
        <v>1269474</v>
      </c>
      <c r="K83" t="s">
        <v>49</v>
      </c>
      <c r="L83">
        <f>2576472-785461</f>
        <v>1791011</v>
      </c>
    </row>
    <row r="84" spans="1:12" x14ac:dyDescent="0.3">
      <c r="A84" t="s">
        <v>14</v>
      </c>
      <c r="B84">
        <v>451387</v>
      </c>
      <c r="K84" t="s">
        <v>18</v>
      </c>
      <c r="L84">
        <v>785461</v>
      </c>
    </row>
    <row r="85" spans="1:12" x14ac:dyDescent="0.3">
      <c r="A85" t="s">
        <v>26</v>
      </c>
      <c r="B85">
        <v>1370339</v>
      </c>
      <c r="K85" t="s">
        <v>178</v>
      </c>
      <c r="L85">
        <v>357235</v>
      </c>
    </row>
    <row r="86" spans="1:12" x14ac:dyDescent="0.3">
      <c r="A86" t="s">
        <v>41</v>
      </c>
      <c r="B86">
        <v>639193</v>
      </c>
      <c r="K86" t="s">
        <v>179</v>
      </c>
      <c r="L86">
        <v>1077797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3279-E257-45CF-B5ED-25A4959D846E}">
  <dimension ref="A1:I45"/>
  <sheetViews>
    <sheetView workbookViewId="0">
      <selection activeCell="P27" sqref="P26:P27"/>
    </sheetView>
  </sheetViews>
  <sheetFormatPr baseColWidth="10" defaultColWidth="10.88671875" defaultRowHeight="14.4" x14ac:dyDescent="0.3"/>
  <cols>
    <col min="4" max="4" width="11" bestFit="1" customWidth="1"/>
    <col min="5" max="8" width="14.33203125" bestFit="1" customWidth="1"/>
    <col min="9" max="9" width="11.5546875"/>
  </cols>
  <sheetData>
    <row r="1" spans="1:9" ht="23.4" x14ac:dyDescent="0.45">
      <c r="A1" s="9" t="s">
        <v>72</v>
      </c>
      <c r="B1" s="9"/>
      <c r="C1" s="9"/>
      <c r="D1" s="9"/>
      <c r="E1" s="9"/>
    </row>
    <row r="3" spans="1:9" ht="15" thickBot="1" x14ac:dyDescent="0.35">
      <c r="A3" s="10" t="s">
        <v>73</v>
      </c>
      <c r="B3" s="10"/>
      <c r="C3" s="10"/>
      <c r="D3" s="10"/>
      <c r="E3" s="10"/>
      <c r="I3" s="80" t="s">
        <v>74</v>
      </c>
    </row>
    <row r="4" spans="1:9" ht="15" thickBot="1" x14ac:dyDescent="0.35">
      <c r="A4" s="11" t="s">
        <v>75</v>
      </c>
      <c r="B4" s="12" t="s">
        <v>76</v>
      </c>
      <c r="C4" s="13" t="s">
        <v>77</v>
      </c>
      <c r="D4" s="13">
        <v>2025</v>
      </c>
      <c r="E4" s="14">
        <v>2024</v>
      </c>
      <c r="F4" s="15">
        <v>2023</v>
      </c>
      <c r="G4" s="16">
        <v>2022</v>
      </c>
      <c r="H4" s="16">
        <v>2021</v>
      </c>
    </row>
    <row r="5" spans="1:9" x14ac:dyDescent="0.3">
      <c r="A5" s="17" t="s">
        <v>78</v>
      </c>
      <c r="B5" s="18" t="s">
        <v>79</v>
      </c>
      <c r="C5" s="19">
        <v>5.74</v>
      </c>
      <c r="D5" s="20">
        <v>-0.08</v>
      </c>
      <c r="E5" s="21">
        <v>-23</v>
      </c>
      <c r="F5" s="22">
        <v>-9.5475238027719396</v>
      </c>
      <c r="G5" s="23">
        <v>10</v>
      </c>
      <c r="H5" s="23">
        <v>14</v>
      </c>
      <c r="I5" t="s">
        <v>80</v>
      </c>
    </row>
    <row r="6" spans="1:9" x14ac:dyDescent="0.3">
      <c r="A6" s="24"/>
      <c r="B6" s="24"/>
      <c r="C6" s="25"/>
      <c r="D6" s="26"/>
      <c r="E6" s="27"/>
      <c r="F6" s="28"/>
      <c r="G6" s="29"/>
      <c r="H6" s="29"/>
    </row>
    <row r="7" spans="1:9" x14ac:dyDescent="0.3">
      <c r="A7" s="30" t="s">
        <v>81</v>
      </c>
      <c r="B7" s="18" t="s">
        <v>82</v>
      </c>
      <c r="C7" s="19">
        <v>1.58</v>
      </c>
      <c r="D7" s="20">
        <v>0.08</v>
      </c>
      <c r="E7" s="21">
        <v>-21.5</v>
      </c>
      <c r="F7" s="31">
        <v>-11</v>
      </c>
      <c r="G7" s="32">
        <v>7</v>
      </c>
      <c r="H7" s="32">
        <v>12</v>
      </c>
      <c r="I7" t="s">
        <v>83</v>
      </c>
    </row>
    <row r="8" spans="1:9" x14ac:dyDescent="0.3">
      <c r="A8" s="24" t="s">
        <v>84</v>
      </c>
      <c r="B8" s="24"/>
      <c r="C8" s="25"/>
      <c r="D8" s="33">
        <v>1048040.37</v>
      </c>
      <c r="E8" s="27">
        <v>659364.19999999995</v>
      </c>
      <c r="F8" s="28">
        <v>928940.83999999985</v>
      </c>
      <c r="G8" s="29">
        <v>1165546.8399999994</v>
      </c>
      <c r="H8" s="29">
        <v>1066142.27</v>
      </c>
      <c r="I8" t="s">
        <v>85</v>
      </c>
    </row>
    <row r="9" spans="1:9" x14ac:dyDescent="0.3">
      <c r="A9" s="34" t="s">
        <v>86</v>
      </c>
      <c r="B9" s="24"/>
      <c r="C9" s="25">
        <v>62.5</v>
      </c>
      <c r="D9" s="26">
        <v>0.31</v>
      </c>
      <c r="E9" s="27">
        <v>23</v>
      </c>
      <c r="F9" s="35">
        <v>27</v>
      </c>
      <c r="G9" s="36">
        <v>29</v>
      </c>
      <c r="H9" s="36">
        <v>26</v>
      </c>
      <c r="I9" t="s">
        <v>87</v>
      </c>
    </row>
    <row r="10" spans="1:9" x14ac:dyDescent="0.3">
      <c r="A10" s="37" t="s">
        <v>88</v>
      </c>
      <c r="B10" s="37"/>
      <c r="C10" s="38"/>
      <c r="D10" s="39"/>
      <c r="E10" s="40"/>
      <c r="F10" s="28"/>
      <c r="G10" s="29"/>
      <c r="H10" s="29"/>
    </row>
    <row r="11" spans="1:9" x14ac:dyDescent="0.3">
      <c r="A11" s="41" t="s">
        <v>89</v>
      </c>
      <c r="B11" s="42" t="s">
        <v>90</v>
      </c>
      <c r="C11" s="43">
        <v>1.79</v>
      </c>
      <c r="D11" s="44">
        <v>7.0000000000000007E-2</v>
      </c>
      <c r="E11" s="27">
        <v>-20.8</v>
      </c>
      <c r="F11" s="31">
        <v>-11</v>
      </c>
      <c r="G11" s="32">
        <v>7</v>
      </c>
      <c r="H11" s="32">
        <v>12</v>
      </c>
      <c r="I11" t="s">
        <v>91</v>
      </c>
    </row>
    <row r="12" spans="1:9" x14ac:dyDescent="0.3">
      <c r="A12" s="42"/>
      <c r="B12" s="42"/>
      <c r="C12" s="25"/>
      <c r="D12" s="45"/>
      <c r="E12" s="27"/>
      <c r="F12" s="46"/>
      <c r="G12" s="47"/>
      <c r="H12" s="47"/>
    </row>
    <row r="13" spans="1:9" x14ac:dyDescent="0.3">
      <c r="A13" s="41" t="s">
        <v>92</v>
      </c>
      <c r="B13" s="42" t="s">
        <v>90</v>
      </c>
      <c r="C13" s="25">
        <v>1.76</v>
      </c>
      <c r="D13" s="48">
        <v>0.06</v>
      </c>
      <c r="E13" s="27">
        <v>-0.12</v>
      </c>
      <c r="F13" s="31">
        <v>-6</v>
      </c>
      <c r="G13" s="32">
        <v>6</v>
      </c>
      <c r="H13" s="32">
        <v>8</v>
      </c>
      <c r="I13" t="s">
        <v>93</v>
      </c>
    </row>
    <row r="14" spans="1:9" x14ac:dyDescent="0.3">
      <c r="A14" s="42" t="s">
        <v>94</v>
      </c>
      <c r="B14" s="42" t="s">
        <v>90</v>
      </c>
      <c r="C14" s="25"/>
      <c r="D14" s="33">
        <v>346197.61</v>
      </c>
      <c r="E14" s="49">
        <v>-545868.05000000005</v>
      </c>
      <c r="F14" s="50">
        <v>-338641.35</v>
      </c>
      <c r="G14" s="51">
        <v>318023.52999999997</v>
      </c>
      <c r="H14" s="51">
        <v>549043.93000000005</v>
      </c>
      <c r="I14" t="s">
        <v>95</v>
      </c>
    </row>
    <row r="15" spans="1:9" x14ac:dyDescent="0.3">
      <c r="A15" s="37" t="s">
        <v>96</v>
      </c>
      <c r="B15" s="37"/>
      <c r="C15" s="38"/>
      <c r="D15" s="52"/>
      <c r="E15" s="53"/>
      <c r="F15" s="28"/>
      <c r="G15" s="29"/>
      <c r="H15" s="29"/>
    </row>
    <row r="16" spans="1:9" x14ac:dyDescent="0.3">
      <c r="A16" s="54" t="s">
        <v>97</v>
      </c>
      <c r="B16" s="55"/>
      <c r="C16" s="25">
        <v>31.68</v>
      </c>
      <c r="D16" s="26">
        <v>0.84</v>
      </c>
      <c r="E16" s="56">
        <v>86</v>
      </c>
      <c r="F16" s="31">
        <v>85</v>
      </c>
      <c r="G16" s="32">
        <v>85</v>
      </c>
      <c r="H16" s="32">
        <v>86</v>
      </c>
      <c r="I16" t="s">
        <v>98</v>
      </c>
    </row>
    <row r="17" spans="1:9" x14ac:dyDescent="0.3">
      <c r="A17" s="37" t="s">
        <v>99</v>
      </c>
      <c r="B17" s="37"/>
      <c r="C17" s="38"/>
      <c r="D17" s="52"/>
      <c r="E17" s="53"/>
      <c r="F17" s="28"/>
      <c r="G17" s="29"/>
      <c r="H17" s="29"/>
    </row>
    <row r="18" spans="1:9" x14ac:dyDescent="0.3">
      <c r="A18" s="57" t="s">
        <v>100</v>
      </c>
      <c r="B18" s="24" t="s">
        <v>101</v>
      </c>
      <c r="C18" s="25">
        <v>1.6</v>
      </c>
      <c r="D18" s="33">
        <v>3.7</v>
      </c>
      <c r="E18" s="56">
        <v>3.8</v>
      </c>
      <c r="F18" s="58">
        <v>3.3179325488993427</v>
      </c>
      <c r="G18" s="59">
        <v>4.499013926030214</v>
      </c>
      <c r="H18" s="59">
        <v>3.2737433347915501</v>
      </c>
      <c r="I18" t="s">
        <v>102</v>
      </c>
    </row>
    <row r="19" spans="1:9" x14ac:dyDescent="0.3">
      <c r="A19" s="57" t="s">
        <v>103</v>
      </c>
      <c r="B19" s="24" t="s">
        <v>101</v>
      </c>
      <c r="C19" s="25">
        <v>1.71</v>
      </c>
      <c r="D19" s="33">
        <v>3.6</v>
      </c>
      <c r="E19" s="60">
        <v>3.6</v>
      </c>
      <c r="F19" s="58">
        <v>3.2664711825956148</v>
      </c>
      <c r="G19" s="59">
        <v>4.4146312035878763</v>
      </c>
      <c r="H19" s="59">
        <v>3.1861736209405849</v>
      </c>
      <c r="I19" t="s">
        <v>104</v>
      </c>
    </row>
    <row r="20" spans="1:9" x14ac:dyDescent="0.3">
      <c r="A20" s="57" t="s">
        <v>105</v>
      </c>
      <c r="B20" s="24" t="s">
        <v>106</v>
      </c>
      <c r="C20" s="25">
        <v>45.68</v>
      </c>
      <c r="D20" s="26">
        <v>0.7</v>
      </c>
      <c r="E20" s="56">
        <v>70</v>
      </c>
      <c r="F20" s="31">
        <v>67</v>
      </c>
      <c r="G20" s="32">
        <v>73</v>
      </c>
      <c r="H20" s="32">
        <v>66</v>
      </c>
      <c r="I20" t="s">
        <v>107</v>
      </c>
    </row>
    <row r="21" spans="1:9" x14ac:dyDescent="0.3">
      <c r="A21" s="57" t="s">
        <v>108</v>
      </c>
      <c r="B21" s="24" t="s">
        <v>90</v>
      </c>
      <c r="C21" s="25"/>
      <c r="D21" s="33">
        <v>2993722.11</v>
      </c>
      <c r="E21" s="61">
        <v>2698874.66</v>
      </c>
      <c r="F21" s="50">
        <v>3407847.5200000005</v>
      </c>
      <c r="G21" s="51">
        <v>3788356.5199999996</v>
      </c>
      <c r="H21" s="51">
        <v>3539163.5600000005</v>
      </c>
      <c r="I21" t="s">
        <v>109</v>
      </c>
    </row>
    <row r="22" spans="1:9" x14ac:dyDescent="0.3">
      <c r="A22" s="57" t="s">
        <v>110</v>
      </c>
      <c r="B22" s="62" t="s">
        <v>111</v>
      </c>
      <c r="C22" s="25"/>
      <c r="D22" s="33">
        <v>-795440.02</v>
      </c>
      <c r="E22" s="61">
        <v>-677888.21</v>
      </c>
      <c r="F22" s="50">
        <v>-919326.53999999992</v>
      </c>
      <c r="G22" s="51">
        <v>-726867.20000000007</v>
      </c>
      <c r="H22" s="51">
        <v>-1387706.8900000001</v>
      </c>
      <c r="I22" t="s">
        <v>112</v>
      </c>
    </row>
    <row r="23" spans="1:9" x14ac:dyDescent="0.3">
      <c r="A23" s="57" t="s">
        <v>113</v>
      </c>
      <c r="B23" s="24" t="s">
        <v>90</v>
      </c>
      <c r="C23" s="25"/>
      <c r="D23" s="33">
        <v>3789162.13</v>
      </c>
      <c r="E23" s="61">
        <v>3376762.81</v>
      </c>
      <c r="F23" s="50">
        <v>4327174.0599999996</v>
      </c>
      <c r="G23" s="51">
        <v>4515223.72</v>
      </c>
      <c r="H23" s="51">
        <v>4926870.45</v>
      </c>
    </row>
    <row r="24" spans="1:9" x14ac:dyDescent="0.3">
      <c r="A24" s="57" t="s">
        <v>114</v>
      </c>
      <c r="B24" s="29" t="s">
        <v>115</v>
      </c>
      <c r="C24" s="63">
        <v>83.71</v>
      </c>
      <c r="D24" s="64">
        <v>53</v>
      </c>
      <c r="E24" s="56">
        <v>63</v>
      </c>
      <c r="F24" s="46">
        <v>43</v>
      </c>
      <c r="G24" s="47">
        <v>41</v>
      </c>
      <c r="H24" s="47">
        <v>21</v>
      </c>
      <c r="I24" t="s">
        <v>116</v>
      </c>
    </row>
    <row r="25" spans="1:9" x14ac:dyDescent="0.3">
      <c r="A25" s="57" t="s">
        <v>117</v>
      </c>
      <c r="B25" s="29" t="s">
        <v>118</v>
      </c>
      <c r="C25" s="63">
        <v>103.5</v>
      </c>
      <c r="D25" s="64">
        <v>134</v>
      </c>
      <c r="E25" s="56">
        <v>121</v>
      </c>
      <c r="F25" s="46">
        <v>119.61813612291084</v>
      </c>
      <c r="G25" s="47">
        <v>95.033856209761126</v>
      </c>
      <c r="H25" s="47">
        <v>165.50333361201319</v>
      </c>
      <c r="I25" s="81" t="s">
        <v>119</v>
      </c>
    </row>
    <row r="26" spans="1:9" ht="15" thickBot="1" x14ac:dyDescent="0.35">
      <c r="A26" s="37" t="s">
        <v>120</v>
      </c>
      <c r="B26" s="37"/>
      <c r="C26" s="38"/>
      <c r="D26" s="52"/>
      <c r="E26" s="53"/>
      <c r="F26" s="28"/>
      <c r="G26" s="29"/>
      <c r="H26" s="29"/>
      <c r="I26" s="82"/>
    </row>
    <row r="27" spans="1:9" ht="15" thickBot="1" x14ac:dyDescent="0.35">
      <c r="A27" s="65" t="s">
        <v>121</v>
      </c>
      <c r="B27" s="66"/>
      <c r="C27" s="67">
        <v>50.26</v>
      </c>
      <c r="D27" s="67">
        <v>21</v>
      </c>
      <c r="E27" s="68">
        <v>28</v>
      </c>
      <c r="F27" s="69">
        <f>((461982.99/1675927.66))*100</f>
        <v>27.565807345169063</v>
      </c>
      <c r="G27" s="70"/>
      <c r="H27" s="70"/>
      <c r="I27" s="83" t="s">
        <v>122</v>
      </c>
    </row>
    <row r="28" spans="1:9" ht="15" thickTop="1" x14ac:dyDescent="0.3">
      <c r="A28" s="10" t="s">
        <v>123</v>
      </c>
      <c r="B28" s="10"/>
      <c r="C28" s="10"/>
      <c r="D28" s="10"/>
      <c r="E28" s="10"/>
      <c r="F28" s="71"/>
    </row>
    <row r="29" spans="1:9" x14ac:dyDescent="0.3">
      <c r="A29" s="10"/>
      <c r="B29" s="10"/>
      <c r="C29" s="10"/>
      <c r="D29" s="10"/>
      <c r="E29" s="10"/>
      <c r="F29" s="71"/>
    </row>
    <row r="30" spans="1:9" x14ac:dyDescent="0.3">
      <c r="A30" t="s">
        <v>124</v>
      </c>
      <c r="B30" s="10"/>
      <c r="C30" s="10"/>
      <c r="D30" s="10"/>
      <c r="E30" s="10"/>
      <c r="F30" s="71"/>
    </row>
    <row r="31" spans="1:9" x14ac:dyDescent="0.3">
      <c r="A31" t="s">
        <v>125</v>
      </c>
      <c r="B31" s="10"/>
      <c r="C31" s="10"/>
      <c r="D31" s="10"/>
      <c r="E31" s="10"/>
      <c r="F31" s="71"/>
    </row>
    <row r="32" spans="1:9" x14ac:dyDescent="0.3">
      <c r="A32" t="s">
        <v>126</v>
      </c>
      <c r="B32" s="10"/>
      <c r="C32" s="10"/>
      <c r="D32" s="10"/>
      <c r="E32" s="10"/>
      <c r="F32" s="71"/>
    </row>
    <row r="33" spans="1:6" x14ac:dyDescent="0.3">
      <c r="A33" t="s">
        <v>127</v>
      </c>
      <c r="B33" s="10"/>
      <c r="C33" s="10"/>
      <c r="D33" s="10"/>
      <c r="E33" s="10"/>
      <c r="F33" s="71"/>
    </row>
    <row r="34" spans="1:6" x14ac:dyDescent="0.3">
      <c r="A34" t="s">
        <v>128</v>
      </c>
      <c r="B34" s="10"/>
      <c r="C34" s="10"/>
      <c r="D34" s="10"/>
      <c r="E34" s="10"/>
      <c r="F34" s="71"/>
    </row>
    <row r="35" spans="1:6" x14ac:dyDescent="0.3">
      <c r="A35" t="s">
        <v>129</v>
      </c>
      <c r="B35" s="10"/>
      <c r="C35" s="10"/>
      <c r="D35" s="10"/>
      <c r="E35" s="10"/>
      <c r="F35" s="71"/>
    </row>
    <row r="36" spans="1:6" x14ac:dyDescent="0.3">
      <c r="A36" s="10"/>
      <c r="B36" s="10"/>
      <c r="C36" s="10"/>
      <c r="D36" s="10"/>
      <c r="E36" s="10"/>
      <c r="F36" s="71"/>
    </row>
    <row r="37" spans="1:6" x14ac:dyDescent="0.3">
      <c r="A37" t="s">
        <v>130</v>
      </c>
      <c r="B37" s="10"/>
      <c r="C37" s="10"/>
      <c r="D37" s="10"/>
      <c r="E37" s="10"/>
      <c r="F37" s="71"/>
    </row>
    <row r="38" spans="1:6" x14ac:dyDescent="0.3">
      <c r="A38" s="72" t="s">
        <v>131</v>
      </c>
      <c r="B38" s="10"/>
      <c r="C38" s="10"/>
      <c r="D38" s="10"/>
      <c r="E38" s="10"/>
      <c r="F38" s="71"/>
    </row>
    <row r="39" spans="1:6" x14ac:dyDescent="0.3">
      <c r="A39" t="s">
        <v>132</v>
      </c>
      <c r="B39" s="10"/>
      <c r="C39" s="10"/>
      <c r="D39" s="10"/>
      <c r="E39" s="10"/>
      <c r="F39" s="71"/>
    </row>
    <row r="40" spans="1:6" x14ac:dyDescent="0.3">
      <c r="A40" t="s">
        <v>133</v>
      </c>
      <c r="B40" s="10"/>
      <c r="C40" s="10"/>
      <c r="D40" s="10"/>
      <c r="E40" s="10"/>
      <c r="F40" s="71"/>
    </row>
    <row r="41" spans="1:6" x14ac:dyDescent="0.3">
      <c r="A41" t="s">
        <v>134</v>
      </c>
      <c r="B41" s="10"/>
      <c r="C41" s="10"/>
      <c r="D41" s="10"/>
      <c r="E41" s="10"/>
      <c r="F41" s="71"/>
    </row>
    <row r="42" spans="1:6" x14ac:dyDescent="0.3">
      <c r="A42" t="s">
        <v>135</v>
      </c>
      <c r="B42" s="10"/>
      <c r="C42" s="10"/>
      <c r="D42" s="10"/>
      <c r="E42" s="10"/>
      <c r="F42" s="71"/>
    </row>
    <row r="43" spans="1:6" x14ac:dyDescent="0.3">
      <c r="A43" t="s">
        <v>136</v>
      </c>
    </row>
    <row r="44" spans="1:6" x14ac:dyDescent="0.3">
      <c r="A44" t="s">
        <v>137</v>
      </c>
    </row>
    <row r="45" spans="1:6" x14ac:dyDescent="0.3">
      <c r="A45"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CB27-E3EB-4D0F-BEF2-E96D08BAC6FD}">
  <dimension ref="A1:H43"/>
  <sheetViews>
    <sheetView workbookViewId="0">
      <selection activeCell="A25" sqref="A25"/>
    </sheetView>
  </sheetViews>
  <sheetFormatPr baseColWidth="10" defaultColWidth="10.88671875" defaultRowHeight="14.4" x14ac:dyDescent="0.3"/>
  <cols>
    <col min="1" max="1" width="213.88671875" bestFit="1" customWidth="1"/>
    <col min="2" max="2" width="17.21875" bestFit="1" customWidth="1"/>
    <col min="3" max="3" width="34.44140625" bestFit="1" customWidth="1"/>
    <col min="4" max="4" width="11" bestFit="1" customWidth="1"/>
    <col min="5" max="8" width="14.33203125" bestFit="1" customWidth="1"/>
  </cols>
  <sheetData>
    <row r="1" spans="1:8" ht="15" thickBot="1" x14ac:dyDescent="0.35">
      <c r="A1" s="11" t="s">
        <v>139</v>
      </c>
      <c r="B1" s="12" t="s">
        <v>140</v>
      </c>
      <c r="C1" s="13" t="s">
        <v>141</v>
      </c>
      <c r="D1" s="13">
        <v>2025</v>
      </c>
      <c r="E1" s="14">
        <v>2024</v>
      </c>
      <c r="F1" s="15">
        <v>2023</v>
      </c>
      <c r="G1" s="16">
        <v>2022</v>
      </c>
      <c r="H1" s="16">
        <v>2021</v>
      </c>
    </row>
    <row r="2" spans="1:8" x14ac:dyDescent="0.3">
      <c r="A2" s="17" t="s">
        <v>142</v>
      </c>
      <c r="B2" s="19" t="s">
        <v>90</v>
      </c>
      <c r="C2" s="19">
        <v>5.74</v>
      </c>
      <c r="D2" s="19">
        <v>-8</v>
      </c>
      <c r="E2" s="21">
        <v>-23</v>
      </c>
      <c r="F2" s="22">
        <v>-9.5475238027719396</v>
      </c>
      <c r="G2" s="23">
        <v>10</v>
      </c>
      <c r="H2" s="23">
        <v>14</v>
      </c>
    </row>
    <row r="3" spans="1:8" x14ac:dyDescent="0.3">
      <c r="A3" s="24"/>
      <c r="B3" s="25"/>
      <c r="C3" s="25"/>
      <c r="D3" s="25"/>
      <c r="E3" s="27"/>
      <c r="F3" s="28"/>
      <c r="G3" s="29"/>
      <c r="H3" s="29"/>
    </row>
    <row r="4" spans="1:8" x14ac:dyDescent="0.3">
      <c r="A4" s="30" t="s">
        <v>143</v>
      </c>
      <c r="B4" s="19" t="s">
        <v>90</v>
      </c>
      <c r="C4" s="19">
        <v>1.58</v>
      </c>
      <c r="D4" s="19">
        <v>8</v>
      </c>
      <c r="E4" s="21">
        <v>-21.5</v>
      </c>
      <c r="F4" s="31">
        <v>-11</v>
      </c>
      <c r="G4" s="32">
        <v>7</v>
      </c>
      <c r="H4" s="32">
        <v>12</v>
      </c>
    </row>
    <row r="5" spans="1:8" x14ac:dyDescent="0.3">
      <c r="A5" s="24" t="s">
        <v>144</v>
      </c>
      <c r="B5" s="24"/>
      <c r="C5" s="25"/>
      <c r="D5" s="33">
        <v>1048040.37</v>
      </c>
      <c r="E5" s="27">
        <v>659364.19999999995</v>
      </c>
      <c r="F5" s="28">
        <v>928940.83999999985</v>
      </c>
      <c r="G5" s="29">
        <v>1165546.8399999994</v>
      </c>
      <c r="H5" s="29">
        <v>1066142.27</v>
      </c>
    </row>
    <row r="6" spans="1:8" x14ac:dyDescent="0.3">
      <c r="A6" s="34" t="s">
        <v>145</v>
      </c>
      <c r="B6" s="24"/>
      <c r="C6" s="25">
        <v>62.5</v>
      </c>
      <c r="D6" s="25">
        <v>31</v>
      </c>
      <c r="E6" s="27">
        <v>23</v>
      </c>
      <c r="F6" s="35">
        <v>27</v>
      </c>
      <c r="G6" s="36">
        <v>29</v>
      </c>
      <c r="H6" s="36">
        <v>26</v>
      </c>
    </row>
    <row r="7" spans="1:8" x14ac:dyDescent="0.3">
      <c r="A7" s="37" t="s">
        <v>146</v>
      </c>
      <c r="B7" s="37"/>
      <c r="C7" s="38"/>
      <c r="D7" s="39"/>
      <c r="E7" s="40"/>
      <c r="F7" s="28"/>
      <c r="G7" s="29"/>
      <c r="H7" s="29"/>
    </row>
    <row r="8" spans="1:8" x14ac:dyDescent="0.3">
      <c r="A8" s="73" t="s">
        <v>147</v>
      </c>
      <c r="B8" s="74" t="s">
        <v>90</v>
      </c>
      <c r="C8" s="25">
        <v>1.79</v>
      </c>
      <c r="D8" s="25">
        <v>7</v>
      </c>
      <c r="E8" s="27">
        <v>-20.8</v>
      </c>
      <c r="F8" s="31">
        <v>-11</v>
      </c>
      <c r="G8" s="32">
        <v>7</v>
      </c>
      <c r="H8" s="32">
        <v>12</v>
      </c>
    </row>
    <row r="9" spans="1:8" x14ac:dyDescent="0.3">
      <c r="A9" s="42"/>
      <c r="B9" s="74"/>
      <c r="C9" s="25"/>
      <c r="D9" s="25"/>
      <c r="E9" s="27"/>
      <c r="F9" s="46"/>
      <c r="G9" s="47"/>
      <c r="H9" s="47"/>
    </row>
    <row r="10" spans="1:8" x14ac:dyDescent="0.3">
      <c r="A10" s="73" t="s">
        <v>148</v>
      </c>
      <c r="B10" s="74" t="s">
        <v>90</v>
      </c>
      <c r="C10" s="25">
        <v>1.76</v>
      </c>
      <c r="D10" s="25">
        <v>6</v>
      </c>
      <c r="E10" s="27">
        <v>-0.12</v>
      </c>
      <c r="F10" s="31">
        <v>-6</v>
      </c>
      <c r="G10" s="32">
        <v>6</v>
      </c>
      <c r="H10" s="32">
        <v>8</v>
      </c>
    </row>
    <row r="11" spans="1:8" x14ac:dyDescent="0.3">
      <c r="A11" s="42" t="s">
        <v>149</v>
      </c>
      <c r="B11" s="74" t="s">
        <v>90</v>
      </c>
      <c r="C11" s="25"/>
      <c r="D11" s="33">
        <v>346197.61</v>
      </c>
      <c r="E11" s="49">
        <v>-545868.05000000005</v>
      </c>
      <c r="F11" s="50">
        <v>-338641.35</v>
      </c>
      <c r="G11" s="51">
        <v>318023.52999999997</v>
      </c>
      <c r="H11" s="51">
        <v>549043.93000000005</v>
      </c>
    </row>
    <row r="12" spans="1:8" x14ac:dyDescent="0.3">
      <c r="A12" s="10" t="s">
        <v>150</v>
      </c>
      <c r="B12" s="75"/>
      <c r="C12" s="38"/>
      <c r="D12" s="52"/>
      <c r="E12" s="53"/>
      <c r="F12" s="28"/>
      <c r="G12" s="29"/>
      <c r="H12" s="29"/>
    </row>
    <row r="13" spans="1:8" x14ac:dyDescent="0.3">
      <c r="A13" s="76" t="s">
        <v>151</v>
      </c>
      <c r="B13" s="55"/>
      <c r="C13" s="25">
        <v>31.68</v>
      </c>
      <c r="D13" s="25">
        <v>84</v>
      </c>
      <c r="E13" s="56">
        <v>86</v>
      </c>
      <c r="F13" s="31">
        <v>85</v>
      </c>
      <c r="G13" s="32">
        <v>85</v>
      </c>
      <c r="H13" s="32">
        <v>86</v>
      </c>
    </row>
    <row r="14" spans="1:8" x14ac:dyDescent="0.3">
      <c r="A14" s="10" t="s">
        <v>152</v>
      </c>
      <c r="B14" s="37"/>
      <c r="C14" s="38"/>
      <c r="D14" s="52"/>
      <c r="E14" s="53"/>
      <c r="F14" s="28"/>
      <c r="G14" s="29"/>
      <c r="H14" s="29"/>
    </row>
    <row r="15" spans="1:8" x14ac:dyDescent="0.3">
      <c r="A15" s="57" t="s">
        <v>153</v>
      </c>
      <c r="B15" s="24" t="s">
        <v>101</v>
      </c>
      <c r="C15" s="25">
        <v>1.6</v>
      </c>
      <c r="D15" s="33">
        <v>3.7</v>
      </c>
      <c r="E15" s="56">
        <v>3.8</v>
      </c>
      <c r="F15" s="58">
        <v>3.3179325488993427</v>
      </c>
      <c r="G15" s="59">
        <v>4.499013926030214</v>
      </c>
      <c r="H15" s="59">
        <v>3.2737433347915501</v>
      </c>
    </row>
    <row r="16" spans="1:8" x14ac:dyDescent="0.3">
      <c r="A16" s="77" t="s">
        <v>154</v>
      </c>
      <c r="B16" s="24" t="s">
        <v>101</v>
      </c>
      <c r="C16" s="25">
        <v>1.71</v>
      </c>
      <c r="D16" s="33">
        <v>3.6</v>
      </c>
      <c r="E16" s="56">
        <v>3.6</v>
      </c>
      <c r="F16" s="58">
        <v>3.2664711825956148</v>
      </c>
      <c r="G16" s="59">
        <v>4.4146312035878763</v>
      </c>
      <c r="H16" s="59">
        <v>3.1861736209405849</v>
      </c>
    </row>
    <row r="17" spans="1:8" x14ac:dyDescent="0.3">
      <c r="A17" s="57" t="s">
        <v>155</v>
      </c>
      <c r="B17" s="24" t="s">
        <v>106</v>
      </c>
      <c r="C17" s="25">
        <v>45.68</v>
      </c>
      <c r="D17" s="25">
        <v>70</v>
      </c>
      <c r="E17" s="25">
        <v>70</v>
      </c>
      <c r="F17" s="31">
        <v>67</v>
      </c>
      <c r="G17" s="32">
        <v>73</v>
      </c>
      <c r="H17" s="32">
        <v>66</v>
      </c>
    </row>
    <row r="18" spans="1:8" x14ac:dyDescent="0.3">
      <c r="A18" s="57" t="s">
        <v>156</v>
      </c>
      <c r="B18" s="24" t="s">
        <v>90</v>
      </c>
      <c r="C18" s="25"/>
      <c r="D18" s="25">
        <v>2993722.11</v>
      </c>
      <c r="E18" s="25">
        <v>2698874.66</v>
      </c>
      <c r="F18" s="50">
        <v>3407847.5200000005</v>
      </c>
      <c r="G18" s="51">
        <v>3788356.5199999996</v>
      </c>
      <c r="H18" s="51">
        <v>3539163.5600000005</v>
      </c>
    </row>
    <row r="19" spans="1:8" x14ac:dyDescent="0.3">
      <c r="A19" s="57" t="s">
        <v>157</v>
      </c>
      <c r="B19" s="62" t="s">
        <v>111</v>
      </c>
      <c r="C19" s="25"/>
      <c r="D19" s="25">
        <v>-795440.02</v>
      </c>
      <c r="E19" s="25">
        <v>-677888.21</v>
      </c>
      <c r="F19" s="50">
        <v>-919326.53999999992</v>
      </c>
      <c r="G19" s="51">
        <v>-726867.20000000007</v>
      </c>
      <c r="H19" s="51">
        <v>-1387706.8900000001</v>
      </c>
    </row>
    <row r="20" spans="1:8" x14ac:dyDescent="0.3">
      <c r="A20" s="57" t="s">
        <v>158</v>
      </c>
      <c r="B20" s="24" t="s">
        <v>90</v>
      </c>
      <c r="C20" s="25"/>
      <c r="D20" s="25">
        <v>3789162.13</v>
      </c>
      <c r="E20" s="25">
        <v>3376762.81</v>
      </c>
      <c r="F20" s="50">
        <v>4327174.0599999996</v>
      </c>
      <c r="G20" s="51">
        <v>4515223.72</v>
      </c>
      <c r="H20" s="51">
        <v>4926870.45</v>
      </c>
    </row>
    <row r="21" spans="1:8" x14ac:dyDescent="0.3">
      <c r="A21" s="57" t="s">
        <v>159</v>
      </c>
      <c r="B21" s="29" t="s">
        <v>115</v>
      </c>
      <c r="C21" s="25">
        <v>83.71</v>
      </c>
      <c r="D21" s="64">
        <v>53</v>
      </c>
      <c r="E21" s="56">
        <v>63</v>
      </c>
      <c r="F21" s="46">
        <v>43</v>
      </c>
      <c r="G21" s="47">
        <v>41</v>
      </c>
      <c r="H21" s="47">
        <v>21</v>
      </c>
    </row>
    <row r="22" spans="1:8" x14ac:dyDescent="0.3">
      <c r="A22" s="57" t="s">
        <v>160</v>
      </c>
      <c r="B22" s="29" t="s">
        <v>118</v>
      </c>
      <c r="C22" s="25">
        <v>103.5</v>
      </c>
      <c r="D22" s="64">
        <v>134</v>
      </c>
      <c r="E22" s="56">
        <v>121</v>
      </c>
      <c r="F22" s="46">
        <v>119.61813612291084</v>
      </c>
      <c r="G22" s="47">
        <v>95.033856209761126</v>
      </c>
      <c r="H22" s="47">
        <v>165.50333361201319</v>
      </c>
    </row>
    <row r="23" spans="1:8" ht="15" thickBot="1" x14ac:dyDescent="0.35">
      <c r="A23" s="37" t="s">
        <v>120</v>
      </c>
      <c r="B23" s="37"/>
      <c r="C23" s="38"/>
      <c r="D23" s="52"/>
      <c r="E23" s="53"/>
      <c r="F23" s="28"/>
      <c r="G23" s="29"/>
      <c r="H23" s="29"/>
    </row>
    <row r="24" spans="1:8" ht="15" thickBot="1" x14ac:dyDescent="0.35">
      <c r="A24" s="65" t="s">
        <v>161</v>
      </c>
      <c r="B24" s="66"/>
      <c r="C24" s="67">
        <v>50.26</v>
      </c>
      <c r="D24" s="67">
        <v>21</v>
      </c>
      <c r="E24" s="68">
        <v>28</v>
      </c>
      <c r="F24" s="69">
        <v>28</v>
      </c>
      <c r="G24" s="70"/>
      <c r="H24" s="70"/>
    </row>
    <row r="25" spans="1:8" ht="15" thickTop="1" x14ac:dyDescent="0.3">
      <c r="C25" s="78"/>
      <c r="D25" s="78"/>
      <c r="E25" s="78"/>
      <c r="F25" s="79"/>
    </row>
    <row r="26" spans="1:8" x14ac:dyDescent="0.3">
      <c r="A26" s="10" t="s">
        <v>162</v>
      </c>
    </row>
    <row r="28" spans="1:8" x14ac:dyDescent="0.3">
      <c r="A28" t="s">
        <v>163</v>
      </c>
    </row>
    <row r="29" spans="1:8" x14ac:dyDescent="0.3">
      <c r="A29" t="s">
        <v>164</v>
      </c>
    </row>
    <row r="30" spans="1:8" x14ac:dyDescent="0.3">
      <c r="A30" t="s">
        <v>165</v>
      </c>
    </row>
    <row r="31" spans="1:8" x14ac:dyDescent="0.3">
      <c r="A31" t="s">
        <v>166</v>
      </c>
    </row>
    <row r="32" spans="1:8" x14ac:dyDescent="0.3">
      <c r="A32" t="s">
        <v>167</v>
      </c>
    </row>
    <row r="33" spans="1:1" x14ac:dyDescent="0.3">
      <c r="A33" t="s">
        <v>168</v>
      </c>
    </row>
    <row r="34" spans="1:1" x14ac:dyDescent="0.3">
      <c r="A34" t="s">
        <v>169</v>
      </c>
    </row>
    <row r="35" spans="1:1" x14ac:dyDescent="0.3">
      <c r="A35" t="s">
        <v>170</v>
      </c>
    </row>
    <row r="36" spans="1:1" x14ac:dyDescent="0.3">
      <c r="A36" t="s">
        <v>171</v>
      </c>
    </row>
    <row r="37" spans="1:1" x14ac:dyDescent="0.3">
      <c r="A37" t="s">
        <v>172</v>
      </c>
    </row>
    <row r="38" spans="1:1" x14ac:dyDescent="0.3">
      <c r="A38" t="s">
        <v>173</v>
      </c>
    </row>
    <row r="39" spans="1:1" x14ac:dyDescent="0.3">
      <c r="A39" t="s">
        <v>174</v>
      </c>
    </row>
    <row r="41" spans="1:1" x14ac:dyDescent="0.3">
      <c r="A41" t="s">
        <v>175</v>
      </c>
    </row>
    <row r="42" spans="1:1" x14ac:dyDescent="0.3">
      <c r="A42" t="s">
        <v>176</v>
      </c>
    </row>
    <row r="43" spans="1:1" x14ac:dyDescent="0.3">
      <c r="A43" t="s">
        <v>177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8023A1196CA141A2FD86420352504F" ma:contentTypeVersion="16" ma:contentTypeDescription="Create a new document." ma:contentTypeScope="" ma:versionID="e077bfab92cf8128c1da98abade7c02f">
  <xsd:schema xmlns:xsd="http://www.w3.org/2001/XMLSchema" xmlns:xs="http://www.w3.org/2001/XMLSchema" xmlns:p="http://schemas.microsoft.com/office/2006/metadata/properties" xmlns:ns2="67cd9146-621f-425f-b70e-5b523e7cea09" xmlns:ns3="7dbc5c01-d74a-48cd-bd2a-827bafa1be93" targetNamespace="http://schemas.microsoft.com/office/2006/metadata/properties" ma:root="true" ma:fieldsID="2500d71d0a624ec55c2b37df8c416e7e" ns2:_="" ns3:_="">
    <xsd:import namespace="67cd9146-621f-425f-b70e-5b523e7cea09"/>
    <xsd:import namespace="7dbc5c01-d74a-48cd-bd2a-827bafa1be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cd9146-621f-425f-b70e-5b523e7ce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506891-a340-47dd-aa2c-5084a42560b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c5c01-d74a-48cd-bd2a-827bafa1be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70031ac-2eb4-4b32-9bee-be8a365379d2}" ma:internalName="TaxCatchAll" ma:showField="CatchAllData" ma:web="7dbc5c01-d74a-48cd-bd2a-827bafa1be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bc5c01-d74a-48cd-bd2a-827bafa1be93" xsi:nil="true"/>
    <lcf76f155ced4ddcb4097134ff3c332f xmlns="67cd9146-621f-425f-b70e-5b523e7cea0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3BE289-248C-4DBB-A9D7-1CCCF7CF9F95}"/>
</file>

<file path=customXml/itemProps2.xml><?xml version="1.0" encoding="utf-8"?>
<ds:datastoreItem xmlns:ds="http://schemas.openxmlformats.org/officeDocument/2006/customXml" ds:itemID="{450AA00D-38EA-4961-917A-C75CCF580552}">
  <ds:schemaRefs>
    <ds:schemaRef ds:uri="http://schemas.microsoft.com/office/2006/metadata/properties"/>
    <ds:schemaRef ds:uri="http://schemas.microsoft.com/office/infopath/2007/PartnerControls"/>
    <ds:schemaRef ds:uri="7dbc5c01-d74a-48cd-bd2a-827bafa1be93"/>
    <ds:schemaRef ds:uri="67cd9146-621f-425f-b70e-5b523e7cea09"/>
  </ds:schemaRefs>
</ds:datastoreItem>
</file>

<file path=customXml/itemProps3.xml><?xml version="1.0" encoding="utf-8"?>
<ds:datastoreItem xmlns:ds="http://schemas.openxmlformats.org/officeDocument/2006/customXml" ds:itemID="{9459721C-72E0-4061-B2BB-150B40AEDF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Comptes 31-12-2025&amp;Budget 2026</vt:lpstr>
      <vt:lpstr>Graphiques 2025</vt:lpstr>
      <vt:lpstr>KPIs</vt:lpstr>
      <vt:lpstr>KPI NL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Yves</dc:creator>
  <cp:keywords/>
  <dc:description/>
  <cp:lastModifiedBy>Joseph - Muco</cp:lastModifiedBy>
  <cp:revision/>
  <cp:lastPrinted>2026-05-13T14:23:08Z</cp:lastPrinted>
  <dcterms:created xsi:type="dcterms:W3CDTF">2024-03-05T18:53:39Z</dcterms:created>
  <dcterms:modified xsi:type="dcterms:W3CDTF">2026-06-03T13:43:12Z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0x010100398023A1196CA141A2FD86420352504F</vt:lpwstr>
  </property>
  <property fmtid="{D5CDD505-2E9C-101B-9397-08002B2CF9AE}" pid="3" name="MediaServiceImageTags">
    <vt:lpwstr/>
  </property>
</Properties>
</file>