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stefan.MUCO\Mucovereniging\Directie - General\AV\2022\"/>
    </mc:Choice>
  </mc:AlternateContent>
  <xr:revisionPtr revIDLastSave="0" documentId="13_ncr:1_{EBB43F99-5B11-4831-A986-24A1E2A5A2AF}" xr6:coauthVersionLast="47" xr6:coauthVersionMax="47" xr10:uidLastSave="{00000000-0000-0000-0000-000000000000}"/>
  <bookViews>
    <workbookView xWindow="-110" yWindow="-110" windowWidth="19420" windowHeight="10420" tabRatio="599" xr2:uid="{00000000-000D-0000-FFFF-FFFF00000000}"/>
  </bookViews>
  <sheets>
    <sheet name="Comptes 2021" sheetId="35" r:id="rId1"/>
    <sheet name="Comptes  2021Graphiques " sheetId="30" r:id="rId2"/>
  </sheets>
  <definedNames>
    <definedName name="_xlnm.Print_Area" localSheetId="0">'Comptes 2021'!$B$1:$H$312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3" i="35" l="1"/>
  <c r="E101" i="35"/>
  <c r="E169" i="35" l="1"/>
  <c r="E158" i="35"/>
  <c r="E131" i="35"/>
  <c r="E120" i="35"/>
  <c r="E92" i="35"/>
  <c r="E81" i="35"/>
  <c r="E78" i="35" s="1"/>
  <c r="E72" i="35"/>
  <c r="E21" i="35"/>
  <c r="E36" i="30"/>
  <c r="C36" i="30"/>
  <c r="B36" i="30"/>
  <c r="E31" i="35"/>
  <c r="E28" i="35" s="1"/>
  <c r="E187" i="35"/>
  <c r="E173" i="35"/>
  <c r="E99" i="35"/>
  <c r="E64" i="35"/>
  <c r="E59" i="35"/>
  <c r="E44" i="35"/>
  <c r="D36" i="30" s="1"/>
  <c r="E3" i="35"/>
  <c r="E308" i="35"/>
  <c r="E295" i="35"/>
  <c r="E262" i="35"/>
  <c r="E264" i="35"/>
  <c r="E257" i="35"/>
  <c r="F257" i="35" s="1"/>
  <c r="E252" i="35"/>
  <c r="E248" i="35"/>
  <c r="E246" i="35"/>
  <c r="E233" i="35"/>
  <c r="E20" i="35"/>
  <c r="E10" i="35" s="1"/>
  <c r="E221" i="35"/>
  <c r="E212" i="35"/>
  <c r="E207" i="35"/>
  <c r="E208" i="35"/>
  <c r="H171" i="35"/>
  <c r="H252" i="35"/>
  <c r="H158" i="35"/>
  <c r="H154" i="35"/>
  <c r="E91" i="35" l="1"/>
  <c r="E2" i="35"/>
  <c r="A36" i="30" s="1"/>
  <c r="E302" i="35" l="1"/>
  <c r="E298" i="35"/>
  <c r="E288" i="35"/>
  <c r="E279" i="35"/>
  <c r="E278" i="35" s="1"/>
  <c r="E269" i="35"/>
  <c r="E247" i="35"/>
  <c r="E239" i="35"/>
  <c r="E235" i="35"/>
  <c r="E222" i="35"/>
  <c r="E220" i="35"/>
  <c r="E191" i="35"/>
  <c r="E186" i="35"/>
  <c r="E182" i="35"/>
  <c r="E170" i="35"/>
  <c r="E162" i="35"/>
  <c r="E156" i="35"/>
  <c r="E153" i="35"/>
  <c r="E151" i="35"/>
  <c r="E145" i="35" s="1"/>
  <c r="E140" i="35"/>
  <c r="E113" i="35"/>
  <c r="E106" i="35"/>
  <c r="E60" i="35"/>
  <c r="E77" i="35" s="1"/>
  <c r="A3" i="30" s="1"/>
  <c r="E159" i="35" l="1"/>
  <c r="C3" i="30" s="1"/>
  <c r="E144" i="35"/>
  <c r="B3" i="30" s="1"/>
  <c r="E199" i="35"/>
  <c r="E210" i="35"/>
  <c r="E294" i="35"/>
  <c r="E309" i="35" s="1"/>
  <c r="C65" i="30" s="1"/>
  <c r="E178" i="35"/>
  <c r="E255" i="35"/>
  <c r="E284" i="35" s="1"/>
  <c r="B65" i="30" s="1"/>
  <c r="E232" i="35"/>
  <c r="E254" i="35" s="1"/>
  <c r="A65" i="30" s="1"/>
  <c r="E229" i="35" l="1"/>
  <c r="D3" i="30" s="1"/>
  <c r="E311" i="35"/>
  <c r="E230" i="35" l="1"/>
  <c r="E310" i="35" s="1"/>
  <c r="E312" i="35" l="1"/>
  <c r="H163" i="35"/>
  <c r="H255" i="35" l="1"/>
  <c r="H270" i="35"/>
  <c r="H269" i="35" s="1"/>
  <c r="H239" i="35"/>
  <c r="H233" i="35"/>
  <c r="H232" i="35" l="1"/>
  <c r="H151" i="35" l="1"/>
  <c r="H302" i="35"/>
  <c r="H294" i="35"/>
  <c r="H288" i="35"/>
  <c r="H254" i="35"/>
  <c r="H309" i="35" l="1"/>
  <c r="H28" i="35"/>
  <c r="H21" i="35"/>
  <c r="H10" i="35"/>
  <c r="H186" i="35"/>
  <c r="H180" i="35"/>
  <c r="H178" i="35" s="1"/>
  <c r="H59" i="35"/>
  <c r="H222" i="35"/>
  <c r="H210" i="35"/>
  <c r="H199" i="35"/>
  <c r="H191" i="35"/>
  <c r="H182" i="35"/>
  <c r="H170" i="35"/>
  <c r="H162" i="35"/>
  <c r="H99" i="35"/>
  <c r="H94" i="35"/>
  <c r="H92" i="35" s="1"/>
  <c r="H278" i="35"/>
  <c r="H284" i="35" s="1"/>
  <c r="H91" i="35" l="1"/>
  <c r="H229" i="35"/>
  <c r="H231" i="35"/>
  <c r="H156" i="35"/>
  <c r="H153" i="35"/>
  <c r="H145" i="35"/>
  <c r="H131" i="35"/>
  <c r="H120" i="35"/>
  <c r="H113" i="35"/>
  <c r="H106" i="35"/>
  <c r="H78" i="35"/>
  <c r="H7" i="35"/>
  <c r="H72" i="35"/>
  <c r="F287" i="35"/>
  <c r="F295" i="35"/>
  <c r="F296" i="35"/>
  <c r="F297" i="35"/>
  <c r="F298" i="35"/>
  <c r="F299" i="35"/>
  <c r="F300" i="35"/>
  <c r="F306" i="35"/>
  <c r="F307" i="35"/>
  <c r="F308" i="35"/>
  <c r="F286" i="35"/>
  <c r="F256" i="35"/>
  <c r="F259" i="35"/>
  <c r="F260" i="35"/>
  <c r="F262" i="35"/>
  <c r="F263" i="35"/>
  <c r="F265" i="35"/>
  <c r="F267" i="35"/>
  <c r="F270" i="35"/>
  <c r="F272" i="35"/>
  <c r="F274" i="35"/>
  <c r="F275" i="35"/>
  <c r="F276" i="35"/>
  <c r="F280" i="35"/>
  <c r="F281" i="35"/>
  <c r="F233" i="35"/>
  <c r="F235" i="35"/>
  <c r="F236" i="35"/>
  <c r="F237" i="35"/>
  <c r="F240" i="35"/>
  <c r="F241" i="35"/>
  <c r="F242" i="35"/>
  <c r="F243" i="35"/>
  <c r="F244" i="35"/>
  <c r="F245" i="35"/>
  <c r="F249" i="35"/>
  <c r="F251" i="35"/>
  <c r="F252" i="35"/>
  <c r="F163" i="35"/>
  <c r="F166" i="35"/>
  <c r="F167" i="35"/>
  <c r="F168" i="35"/>
  <c r="F169" i="35"/>
  <c r="F171" i="35"/>
  <c r="F172" i="35"/>
  <c r="F173" i="35"/>
  <c r="F174" i="35"/>
  <c r="F175" i="35"/>
  <c r="F176" i="35"/>
  <c r="F179" i="35"/>
  <c r="F180" i="35"/>
  <c r="F181" i="35"/>
  <c r="F183" i="35"/>
  <c r="F184" i="35"/>
  <c r="F187" i="35"/>
  <c r="F188" i="35"/>
  <c r="F189" i="35"/>
  <c r="F190" i="35"/>
  <c r="F194" i="35"/>
  <c r="F197" i="35"/>
  <c r="F200" i="35"/>
  <c r="F201" i="35"/>
  <c r="F203" i="35"/>
  <c r="F205" i="35"/>
  <c r="F206" i="35"/>
  <c r="F207" i="35"/>
  <c r="F208" i="35"/>
  <c r="F211" i="35"/>
  <c r="F212" i="35"/>
  <c r="F213" i="35"/>
  <c r="F220" i="35"/>
  <c r="F221" i="35"/>
  <c r="F148" i="35"/>
  <c r="F149" i="35"/>
  <c r="F152" i="35"/>
  <c r="F154" i="35"/>
  <c r="F79" i="35"/>
  <c r="F80" i="35"/>
  <c r="F82" i="35"/>
  <c r="F83" i="35"/>
  <c r="F84" i="35"/>
  <c r="F85" i="35"/>
  <c r="F86" i="35"/>
  <c r="F87" i="35"/>
  <c r="F88" i="35"/>
  <c r="F89" i="35"/>
  <c r="F95" i="35"/>
  <c r="F96" i="35"/>
  <c r="F98" i="35"/>
  <c r="F100" i="35"/>
  <c r="F101" i="35"/>
  <c r="F102" i="35"/>
  <c r="F103" i="35"/>
  <c r="F104" i="35"/>
  <c r="F105" i="35"/>
  <c r="F107" i="35"/>
  <c r="F108" i="35"/>
  <c r="F109" i="35"/>
  <c r="F111" i="35"/>
  <c r="F112" i="35"/>
  <c r="F114" i="35"/>
  <c r="F116" i="35"/>
  <c r="F117" i="35"/>
  <c r="F118" i="35"/>
  <c r="F119" i="35"/>
  <c r="F121" i="35"/>
  <c r="F122" i="35"/>
  <c r="F123" i="35"/>
  <c r="F124" i="35"/>
  <c r="F127" i="35"/>
  <c r="F128" i="35"/>
  <c r="F134" i="35"/>
  <c r="F135" i="35"/>
  <c r="F136" i="35"/>
  <c r="F137" i="35"/>
  <c r="F138" i="35"/>
  <c r="F139" i="35"/>
  <c r="F4" i="35"/>
  <c r="F5" i="35"/>
  <c r="F6" i="35"/>
  <c r="F7" i="35"/>
  <c r="F8" i="35"/>
  <c r="F9" i="35"/>
  <c r="F11" i="35"/>
  <c r="F12" i="35"/>
  <c r="F13" i="35"/>
  <c r="F14" i="35"/>
  <c r="F15" i="35"/>
  <c r="F16" i="35"/>
  <c r="F17" i="35"/>
  <c r="F18" i="35"/>
  <c r="F19" i="35"/>
  <c r="F20" i="35"/>
  <c r="F22" i="35"/>
  <c r="F23" i="35"/>
  <c r="F24" i="35"/>
  <c r="F25" i="35"/>
  <c r="F26" i="35"/>
  <c r="F27" i="35"/>
  <c r="F29" i="35"/>
  <c r="F30" i="35"/>
  <c r="F31" i="35"/>
  <c r="F32" i="35"/>
  <c r="F33" i="35"/>
  <c r="F34" i="35"/>
  <c r="F35" i="35"/>
  <c r="F36" i="35"/>
  <c r="F37" i="35"/>
  <c r="F38" i="35"/>
  <c r="F39" i="35"/>
  <c r="F40" i="35"/>
  <c r="F41" i="35"/>
  <c r="F42" i="35"/>
  <c r="F43" i="35"/>
  <c r="F46" i="35"/>
  <c r="F47" i="35"/>
  <c r="F60" i="35"/>
  <c r="F65" i="35"/>
  <c r="F66" i="35"/>
  <c r="F68" i="35"/>
  <c r="F69" i="35"/>
  <c r="F73" i="35"/>
  <c r="F74" i="35"/>
  <c r="F75" i="35"/>
  <c r="F76" i="35"/>
  <c r="F248" i="35"/>
  <c r="F247" i="35"/>
  <c r="D263" i="35"/>
  <c r="F279" i="35" l="1"/>
  <c r="H64" i="35"/>
  <c r="H3" i="35"/>
  <c r="H2" i="35" s="1"/>
  <c r="H44" i="35"/>
  <c r="H159" i="35"/>
  <c r="H311" i="35"/>
  <c r="D223" i="35"/>
  <c r="C269" i="35"/>
  <c r="D59" i="35"/>
  <c r="D191" i="35"/>
  <c r="D186" i="35"/>
  <c r="D182" i="35"/>
  <c r="D170" i="35"/>
  <c r="D44" i="35"/>
  <c r="D28" i="35"/>
  <c r="D21" i="35"/>
  <c r="D10" i="35"/>
  <c r="D3" i="35"/>
  <c r="D143" i="35"/>
  <c r="D113" i="35"/>
  <c r="D64" i="35"/>
  <c r="H77" i="35" l="1"/>
  <c r="D2" i="35"/>
  <c r="D165" i="35"/>
  <c r="D107" i="35"/>
  <c r="D106" i="35" s="1"/>
  <c r="D154" i="35"/>
  <c r="D149" i="35"/>
  <c r="D158" i="35"/>
  <c r="D151" i="35"/>
  <c r="G158" i="35"/>
  <c r="F158" i="35" s="1"/>
  <c r="G151" i="35"/>
  <c r="F151" i="35" s="1"/>
  <c r="D93" i="35"/>
  <c r="D86" i="35"/>
  <c r="D72" i="35"/>
  <c r="D77" i="35" l="1"/>
  <c r="D145" i="35"/>
  <c r="G264" i="35" l="1"/>
  <c r="F264" i="35" s="1"/>
  <c r="G129" i="35"/>
  <c r="F129" i="35" s="1"/>
  <c r="G195" i="35" l="1"/>
  <c r="F195" i="35" s="1"/>
  <c r="G192" i="35"/>
  <c r="F192" i="35" s="1"/>
  <c r="D79" i="35"/>
  <c r="D181" i="35"/>
  <c r="D178" i="35" s="1"/>
  <c r="D233" i="35" l="1"/>
  <c r="G302" i="35"/>
  <c r="F302" i="35" s="1"/>
  <c r="D302" i="35"/>
  <c r="C302" i="35"/>
  <c r="G301" i="35"/>
  <c r="D301" i="35"/>
  <c r="C301" i="35"/>
  <c r="C295" i="35"/>
  <c r="G288" i="35"/>
  <c r="D288" i="35"/>
  <c r="C288" i="35"/>
  <c r="D287" i="35"/>
  <c r="D279" i="35"/>
  <c r="C279" i="35"/>
  <c r="C278" i="35" s="1"/>
  <c r="G278" i="35"/>
  <c r="F278" i="35" s="1"/>
  <c r="D272" i="35"/>
  <c r="G269" i="35"/>
  <c r="F269" i="35" s="1"/>
  <c r="D267" i="35"/>
  <c r="D255" i="35" s="1"/>
  <c r="C267" i="35"/>
  <c r="C260" i="35"/>
  <c r="C255" i="35" s="1"/>
  <c r="G255" i="35"/>
  <c r="F255" i="35" s="1"/>
  <c r="F253" i="35"/>
  <c r="G250" i="35"/>
  <c r="F250" i="35" s="1"/>
  <c r="C250" i="35"/>
  <c r="C248" i="35"/>
  <c r="D247" i="35"/>
  <c r="C247" i="35"/>
  <c r="G246" i="35"/>
  <c r="F246" i="35" s="1"/>
  <c r="D246" i="35"/>
  <c r="C246" i="35"/>
  <c r="G239" i="35"/>
  <c r="D239" i="35"/>
  <c r="C239" i="35"/>
  <c r="C233" i="35"/>
  <c r="G231" i="35"/>
  <c r="C225" i="35"/>
  <c r="G222" i="35"/>
  <c r="D222" i="35"/>
  <c r="C221" i="35"/>
  <c r="C220" i="35"/>
  <c r="D216" i="35"/>
  <c r="D212" i="35"/>
  <c r="C211" i="35"/>
  <c r="G210" i="35"/>
  <c r="F210" i="35" s="1"/>
  <c r="D208" i="35"/>
  <c r="D207" i="35"/>
  <c r="G199" i="35"/>
  <c r="F199" i="35" s="1"/>
  <c r="C199" i="35"/>
  <c r="G191" i="35"/>
  <c r="F191" i="35" s="1"/>
  <c r="C191" i="35"/>
  <c r="C188" i="35"/>
  <c r="C187" i="35"/>
  <c r="G186" i="35"/>
  <c r="F186" i="35" s="1"/>
  <c r="G185" i="35"/>
  <c r="F185" i="35" s="1"/>
  <c r="G182" i="35"/>
  <c r="F182" i="35" s="1"/>
  <c r="C182" i="35"/>
  <c r="G178" i="35"/>
  <c r="F178" i="35" s="1"/>
  <c r="C178" i="35"/>
  <c r="C176" i="35"/>
  <c r="C170" i="35" s="1"/>
  <c r="G170" i="35"/>
  <c r="F170" i="35" s="1"/>
  <c r="C169" i="35"/>
  <c r="D163" i="35"/>
  <c r="C163" i="35"/>
  <c r="G162" i="35"/>
  <c r="F162" i="35" s="1"/>
  <c r="G156" i="35"/>
  <c r="F156" i="35" s="1"/>
  <c r="C158" i="35"/>
  <c r="C156" i="35" s="1"/>
  <c r="D156" i="35"/>
  <c r="G153" i="35"/>
  <c r="F153" i="35" s="1"/>
  <c r="C153" i="35"/>
  <c r="G145" i="35"/>
  <c r="F145" i="35" s="1"/>
  <c r="C145" i="35"/>
  <c r="G143" i="35"/>
  <c r="G140" i="35"/>
  <c r="D140" i="35"/>
  <c r="C140" i="35"/>
  <c r="D135" i="35"/>
  <c r="D134" i="35"/>
  <c r="C134" i="35"/>
  <c r="C131" i="35" s="1"/>
  <c r="G132" i="35"/>
  <c r="D125" i="35"/>
  <c r="D120" i="35" s="1"/>
  <c r="G120" i="35"/>
  <c r="F120" i="35" s="1"/>
  <c r="C120" i="35"/>
  <c r="G113" i="35"/>
  <c r="F113" i="35" s="1"/>
  <c r="C113" i="35"/>
  <c r="G106" i="35"/>
  <c r="F106" i="35" s="1"/>
  <c r="C106" i="35"/>
  <c r="D101" i="35"/>
  <c r="G99" i="35"/>
  <c r="F99" i="35" s="1"/>
  <c r="C99" i="35"/>
  <c r="C91" i="35" s="1"/>
  <c r="G94" i="35"/>
  <c r="F94" i="35" s="1"/>
  <c r="G93" i="35"/>
  <c r="D87" i="35"/>
  <c r="G81" i="35"/>
  <c r="C81" i="35"/>
  <c r="C79" i="35"/>
  <c r="G72" i="35"/>
  <c r="F72" i="35" s="1"/>
  <c r="C72" i="35"/>
  <c r="C69" i="35"/>
  <c r="C65" i="35"/>
  <c r="G64" i="35"/>
  <c r="F64" i="35" s="1"/>
  <c r="G59" i="35"/>
  <c r="F59" i="35" s="1"/>
  <c r="C59" i="35"/>
  <c r="C49" i="35"/>
  <c r="C44" i="35" s="1"/>
  <c r="G44" i="35"/>
  <c r="F44" i="35" s="1"/>
  <c r="G28" i="35"/>
  <c r="F28" i="35" s="1"/>
  <c r="C28" i="35"/>
  <c r="G21" i="35"/>
  <c r="F21" i="35" s="1"/>
  <c r="C21" i="35"/>
  <c r="G10" i="35"/>
  <c r="F10" i="35" s="1"/>
  <c r="C10" i="35"/>
  <c r="G3" i="35"/>
  <c r="F3" i="35" s="1"/>
  <c r="C3" i="35"/>
  <c r="C162" i="35" l="1"/>
  <c r="D199" i="35"/>
  <c r="F143" i="35"/>
  <c r="G294" i="35"/>
  <c r="F294" i="35" s="1"/>
  <c r="F301" i="35"/>
  <c r="G78" i="35"/>
  <c r="F78" i="35" s="1"/>
  <c r="F81" i="35"/>
  <c r="G232" i="35"/>
  <c r="F232" i="35" s="1"/>
  <c r="F239" i="35"/>
  <c r="C210" i="35"/>
  <c r="G92" i="35"/>
  <c r="G91" i="35" s="1"/>
  <c r="F91" i="35" s="1"/>
  <c r="F93" i="35"/>
  <c r="G131" i="35"/>
  <c r="F131" i="35" s="1"/>
  <c r="F132" i="35"/>
  <c r="C64" i="35"/>
  <c r="C78" i="35"/>
  <c r="C144" i="35" s="1"/>
  <c r="C2" i="35"/>
  <c r="D210" i="35"/>
  <c r="C232" i="35"/>
  <c r="C254" i="35" s="1"/>
  <c r="C284" i="35"/>
  <c r="D278" i="35"/>
  <c r="C186" i="35"/>
  <c r="D162" i="35"/>
  <c r="C159" i="35"/>
  <c r="D269" i="35"/>
  <c r="C294" i="35"/>
  <c r="C309" i="35" s="1"/>
  <c r="D294" i="35"/>
  <c r="D81" i="35"/>
  <c r="D78" i="35" s="1"/>
  <c r="D131" i="35"/>
  <c r="D232" i="35"/>
  <c r="D99" i="35"/>
  <c r="D91" i="35" s="1"/>
  <c r="G2" i="35"/>
  <c r="F2" i="35" s="1"/>
  <c r="G284" i="35"/>
  <c r="F284" i="35" s="1"/>
  <c r="G159" i="35"/>
  <c r="G229" i="35"/>
  <c r="F229" i="35" s="1"/>
  <c r="G254" i="35"/>
  <c r="F254" i="35" s="1"/>
  <c r="D153" i="35"/>
  <c r="G309" i="35" l="1"/>
  <c r="F309" i="35" s="1"/>
  <c r="D284" i="35"/>
  <c r="G144" i="35"/>
  <c r="H144" i="35"/>
  <c r="C229" i="35"/>
  <c r="F144" i="35"/>
  <c r="F159" i="35"/>
  <c r="G77" i="35"/>
  <c r="F77" i="35" s="1"/>
  <c r="C77" i="35"/>
  <c r="C311" i="35"/>
  <c r="D309" i="35"/>
  <c r="D229" i="35"/>
  <c r="D144" i="35"/>
  <c r="D254" i="35"/>
  <c r="D159" i="35"/>
  <c r="G311" i="35" l="1"/>
  <c r="F311" i="35" s="1"/>
  <c r="C230" i="35"/>
  <c r="C310" i="35" s="1"/>
  <c r="H230" i="35"/>
  <c r="H310" i="35" s="1"/>
  <c r="D311" i="35"/>
  <c r="G230" i="35"/>
  <c r="D230" i="35"/>
  <c r="C312" i="35" l="1"/>
  <c r="H312" i="35"/>
  <c r="G310" i="35"/>
  <c r="F230" i="35"/>
  <c r="G312" i="35"/>
  <c r="F310" i="35" l="1"/>
  <c r="D310" i="35"/>
  <c r="D312" i="35"/>
  <c r="F36"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Joseph - Muco</author>
    <author>Stefan</author>
    <author>tc={525DCD72-C5DF-4332-BB84-A5CF44553031}</author>
    <author>tc={73CECE9C-514F-453D-9366-5B76294DFA84}</author>
    <author>Stefan - Muco</author>
    <author>tc={160B94CF-CF9E-48C4-B25B-2EA869B09D17}</author>
    <author>tc={36D04EC3-FEC4-4ECE-AF5B-469926C9F638}</author>
    <author>tc={C8EF3465-4A95-4434-B35C-12F574B2372D}</author>
    <author>tc={B225BEFD-3301-4FB4-B66A-8D2583B0D658}</author>
    <author>tc={F64BDE54-CFB9-49A2-92FC-23D1B6E457A2}</author>
    <author>tc={DED374BC-44E1-4A42-83E8-08198CC857C9}</author>
    <author>Kris Van Kerkhoven</author>
  </authors>
  <commentList>
    <comment ref="H45" authorId="0" shapeId="0" xr:uid="{E653C9B6-65B8-46B5-A814-BC733153180F}">
      <text>
        <r>
          <rPr>
            <b/>
            <sz val="9"/>
            <color indexed="81"/>
            <rFont val="Tahoma"/>
            <family val="2"/>
          </rPr>
          <t>Joseph - Muco:</t>
        </r>
        <r>
          <rPr>
            <sz val="9"/>
            <color indexed="81"/>
            <rFont val="Tahoma"/>
            <family val="2"/>
          </rPr>
          <t xml:space="preserve">
Financé par le fond Koening
</t>
        </r>
      </text>
    </comment>
    <comment ref="H69" authorId="0" shapeId="0" xr:uid="{D203DB09-4752-4585-B7A1-D82C9E31E6BB}">
      <text>
        <r>
          <rPr>
            <b/>
            <sz val="9"/>
            <color indexed="81"/>
            <rFont val="Tahoma"/>
            <family val="2"/>
          </rPr>
          <t>Joseph - Muco:</t>
        </r>
        <r>
          <rPr>
            <sz val="9"/>
            <color indexed="81"/>
            <rFont val="Tahoma"/>
            <family val="2"/>
          </rPr>
          <t xml:space="preserve">
Financé par de warmste week</t>
        </r>
      </text>
    </comment>
    <comment ref="G72" authorId="1" shapeId="0" xr:uid="{00000000-0006-0000-0000-000003000000}">
      <text>
        <r>
          <rPr>
            <b/>
            <sz val="9"/>
            <color indexed="81"/>
            <rFont val="Tahoma"/>
            <family val="2"/>
          </rPr>
          <t>Stefan:</t>
        </r>
        <r>
          <rPr>
            <sz val="9"/>
            <color indexed="81"/>
            <rFont val="Tahoma"/>
            <family val="2"/>
          </rPr>
          <t xml:space="preserve">
verschil met lijn 17?</t>
        </r>
      </text>
    </comment>
    <comment ref="H81" authorId="2" shapeId="0" xr:uid="{525DCD72-C5DF-4332-BB84-A5CF44553031}">
      <text>
        <t>[Threaded comment]
Your version of Excel allows you to read this threaded comment; however, any edits to it will get removed if the file is opened in a newer version of Excel. Learn more: https://go.microsoft.com/fwlink/?linkid=870924
Comment:
    we willen naar een besparing van 25% maar hoe we dat gaan doen, één asem schrappen of pagina's, moet nog bekeken worden</t>
      </text>
    </comment>
    <comment ref="H91" authorId="3" shapeId="0" xr:uid="{73CECE9C-514F-453D-9366-5B76294DFA84}">
      <text>
        <t>[Threaded comment]
Your version of Excel allows you to read this threaded comment; however, any edits to it will get removed if the file is opened in a newer version of Excel. Learn more: https://go.microsoft.com/fwlink/?linkid=870924
Comment:
    Kris heeft de vraag aan DSC gesteld waar we kunnen besparen, bv op premiums</t>
      </text>
    </comment>
    <comment ref="H107" authorId="4" shapeId="0" xr:uid="{091CB163-A59A-4059-B25C-3E089E98C3E1}">
      <text>
        <r>
          <rPr>
            <b/>
            <sz val="9"/>
            <color indexed="81"/>
            <rFont val="Tahoma"/>
            <charset val="1"/>
          </rPr>
          <t>Stefan - Muco:</t>
        </r>
        <r>
          <rPr>
            <sz val="9"/>
            <color indexed="81"/>
            <rFont val="Tahoma"/>
            <charset val="1"/>
          </rPr>
          <t xml:space="preserve">
de kosten voor legaten liggen doorgaans veel leger en zijn eerder uitzonderlijk</t>
        </r>
      </text>
    </comment>
    <comment ref="H121" authorId="5" shapeId="0" xr:uid="{160B94CF-CF9E-48C4-B25B-2EA869B09D17}">
      <text>
        <t>[Threaded comment]
Your version of Excel allows you to read this threaded comment; however, any edits to it will get removed if the file is opened in a newer version of Excel. Learn more: https://go.microsoft.com/fwlink/?linkid=870924
Comment:
    ???</t>
      </text>
    </comment>
    <comment ref="H132" authorId="6" shapeId="0" xr:uid="{36D04EC3-FEC4-4ECE-AF5B-469926C9F638}">
      <text>
        <t>[Threaded comment]
Your version of Excel allows you to read this threaded comment; however, any edits to it will get removed if the file is opened in a newer version of Excel. Learn more: https://go.microsoft.com/fwlink/?linkid=870924
Comment:
    ??</t>
      </text>
    </comment>
    <comment ref="H143" authorId="7" shapeId="0" xr:uid="{C8EF3465-4A95-4434-B35C-12F574B2372D}">
      <text>
        <t>[Threaded comment]
Your version of Excel allows you to read this threaded comment; however, any edits to it will get removed if the file is opened in a newer version of Excel. Learn more: https://go.microsoft.com/fwlink/?linkid=870924
Comment:
    Aftrekken ingecalculeerde kosten corporate fundraiser</t>
      </text>
    </comment>
    <comment ref="H154" authorId="8" shapeId="0" xr:uid="{B225BEFD-3301-4FB4-B66A-8D2583B0D658}">
      <text>
        <t>[Threaded comment]
Your version of Excel allows you to read this threaded comment; however, any edits to it will get removed if the file is opened in a newer version of Excel. Learn more: https://go.microsoft.com/fwlink/?linkid=870924
Comment:
    enkel eigen team naar congres, geen steun naar centra</t>
      </text>
    </comment>
    <comment ref="H158" authorId="0" shapeId="0" xr:uid="{09C048C7-5E69-41C5-83B4-A02B272569CC}">
      <text>
        <r>
          <rPr>
            <b/>
            <sz val="9"/>
            <color indexed="81"/>
            <rFont val="Tahoma"/>
            <family val="2"/>
          </rPr>
          <t>Joseph - Muco:</t>
        </r>
        <r>
          <rPr>
            <sz val="9"/>
            <color indexed="81"/>
            <rFont val="Tahoma"/>
            <family val="2"/>
          </rPr>
          <t xml:space="preserve">
contribution à CFE + 40% du coût de Elise</t>
        </r>
      </text>
    </comment>
    <comment ref="H171" authorId="0" shapeId="0" xr:uid="{9FF95A6B-9D0C-4A88-B129-521CFC503A2B}">
      <text>
        <r>
          <rPr>
            <b/>
            <sz val="9"/>
            <color indexed="81"/>
            <rFont val="Tahoma"/>
            <family val="2"/>
          </rPr>
          <t>Joseph - Muco:</t>
        </r>
        <r>
          <rPr>
            <sz val="9"/>
            <color indexed="81"/>
            <rFont val="Tahoma"/>
            <family val="2"/>
          </rPr>
          <t xml:space="preserve">
frais outplacement Carinie: 2200</t>
        </r>
      </text>
    </comment>
    <comment ref="H174" authorId="9" shapeId="0" xr:uid="{F64BDE54-CFB9-49A2-92FC-23D1B6E457A2}">
      <text>
        <t>[Threaded comment]
Your version of Excel allows you to read this threaded comment; however, any edits to it will get removed if the file is opened in a newer version of Excel. Learn more: https://go.microsoft.com/fwlink/?linkid=870924
Comment:
    geen teambuilding dit jaar</t>
      </text>
    </comment>
    <comment ref="H235" authorId="10" shapeId="0" xr:uid="{DED374BC-44E1-4A42-83E8-08198CC857C9}">
      <text>
        <t>[Threaded comment]
Your version of Excel allows you to read this threaded comment; however, any edits to it will get removed if the file is opened in a newer version of Excel. Learn more: https://go.microsoft.com/fwlink/?linkid=870924
Comment:
    Kris berekent nog de geprojecteerde inkomsten uit de streetraising die wegvallen</t>
      </text>
    </comment>
    <comment ref="H252" authorId="0" shapeId="0" xr:uid="{17266A5A-C99C-4988-A54F-37C8A780E675}">
      <text>
        <r>
          <rPr>
            <b/>
            <sz val="9"/>
            <color indexed="81"/>
            <rFont val="Tahoma"/>
            <family val="2"/>
          </rPr>
          <t>Joseph - Muco:</t>
        </r>
        <r>
          <rPr>
            <sz val="9"/>
            <color indexed="81"/>
            <rFont val="Tahoma"/>
            <family val="2"/>
          </rPr>
          <t xml:space="preserve">
Fonds Forton: 50000+9000
Priesters/Wezembeek
10000(depuis 3 ans)
De Koening(qualiteit project)
25000
register
53360
25000</t>
        </r>
      </text>
    </comment>
    <comment ref="H270" authorId="11" shapeId="0" xr:uid="{3F7301CF-F4DC-4695-A870-7A67E302DE35}">
      <text>
        <r>
          <rPr>
            <b/>
            <sz val="9"/>
            <color indexed="81"/>
            <rFont val="Tahoma"/>
            <family val="2"/>
          </rPr>
          <t>Kris Van Kerkhoven:</t>
        </r>
        <r>
          <rPr>
            <sz val="9"/>
            <color indexed="81"/>
            <rFont val="Tahoma"/>
            <family val="2"/>
          </rPr>
          <t xml:space="preserve">
15000 uit reserves Team Asem via project</t>
        </r>
      </text>
    </comment>
    <comment ref="H271" authorId="0" shapeId="0" xr:uid="{C5DB40D5-9E74-4DCF-B4F0-7BD33EB63328}">
      <text>
        <r>
          <rPr>
            <b/>
            <sz val="9"/>
            <color indexed="81"/>
            <rFont val="Tahoma"/>
            <charset val="1"/>
          </rPr>
          <t>Joseph - Muco:</t>
        </r>
        <r>
          <rPr>
            <sz val="9"/>
            <color indexed="81"/>
            <rFont val="Tahoma"/>
            <charset val="1"/>
          </rPr>
          <t xml:space="preserve">
Promesse ferme</t>
        </r>
      </text>
    </comment>
  </commentList>
</comments>
</file>

<file path=xl/sharedStrings.xml><?xml version="1.0" encoding="utf-8"?>
<sst xmlns="http://schemas.openxmlformats.org/spreadsheetml/2006/main" count="932" uniqueCount="869">
  <si>
    <t>Rubrieken omschrijving</t>
  </si>
  <si>
    <t>UITGAVEN</t>
  </si>
  <si>
    <t>Comptes /Rekeningen 12.2019</t>
  </si>
  <si>
    <t>Comptes /Rekeningen  12.2020</t>
  </si>
  <si>
    <t>Budget Définitif 2021</t>
  </si>
  <si>
    <t>DEPENSES</t>
  </si>
  <si>
    <t>DESCRIPTION DES RUBRIQUES</t>
  </si>
  <si>
    <t>Financiële steun aan families</t>
  </si>
  <si>
    <t>Soutien financier aux familles</t>
  </si>
  <si>
    <t>Financiele steun aan families/Algemeen</t>
  </si>
  <si>
    <t>Soutien financier aux familles/Général</t>
  </si>
  <si>
    <t>Aankoop/project voor een kind (-18 jaar) dat bijdraagt aan de persoonlijke of sociale ontwikkeling evenals de integratie binnen het gezin, op school, bij zijn vrijetijdsbesteding, ... (bv. aankoop muziekinstrument, sportmateriaal, computer,  vakantiekampen, uitstapjes, sportvakanties, familiereizen, enz.)</t>
  </si>
  <si>
    <t>(614210) Kindermucofonds</t>
  </si>
  <si>
    <t>Fond muco pour enfants</t>
  </si>
  <si>
    <t>Achat/projet désiré par l'enfant (- de 18 ans) et qui contribue à son développement personnel et/ou social ainsi qu'à son intégration (dans sa famille, à l’école, dans ses loisirs,etc.) Exemples : achat d’un instrument de musique, d’un équipement sportif, d’un ordinateur (à partir de 12 ans), financement d’un projet artistique ou de vacances (camp de langues, classes de mer ou classes vertes, vacances sportives, vacances en famille, …), etc.</t>
  </si>
  <si>
    <t>Kosten verbonden aan regelmatige beoefening van sport (lidgeld, abonnement, materiaal, sportkledij, enz.) voor volwassenen (18 jaar en ouder)</t>
  </si>
  <si>
    <t>(614610) Sportsfonds voor volwassenen</t>
  </si>
  <si>
    <t>Fond Mucosport pour adultes</t>
  </si>
  <si>
    <t>Frais liés à la pratique régulière d'un sport (affiliation, abonnement/cotisations, matériel, tenues, etc.) pour 18 ans et +</t>
  </si>
  <si>
    <t>Kosten verbonden aan regelmatige beoefening van sport (lidgeld, abonnement, materiaal, sportkledij, enz.) voor kinderen (-18 jaar)</t>
  </si>
  <si>
    <t>(614810) Sportsfonds voor kinderen</t>
  </si>
  <si>
    <t>Fond Mucosport pour enfants</t>
  </si>
  <si>
    <t>Frais liés à la pratique régulière d'un sport (affiliation, abonnement/cotisations, matériel, tenues, etc.) pour les - de 18 ans</t>
  </si>
  <si>
    <t>Aankoop/project om iets extra's te doen voor een langdurig gehospitaliseerde patiënt</t>
  </si>
  <si>
    <t xml:space="preserve">(614812) Sterretjes project </t>
  </si>
  <si>
    <t>Projet Etoilles</t>
  </si>
  <si>
    <t xml:space="preserve">Achat/projet qui apporte un plus au patient lors d'une hospitalisation pénible de longue durée </t>
  </si>
  <si>
    <t>Aankoop/project voor een volwassene die hem/haar toelaat om iets leuk te doen, zijn autonomie te vergroten (vakanties, cursussen, taalstages, aankoop computer, enz.)</t>
  </si>
  <si>
    <t>(615811) Jovofonds</t>
  </si>
  <si>
    <t>Fonds Muco pour adultes</t>
  </si>
  <si>
    <t>Achat/projet à visée sociale qui permet à l'adulte (18 ans et +) de sortir de son quotidien, d’apporter un petit plus bénéfique dans sa vie, de favoriser son autonomie (ex.: vacances, cours, formations, stages de langues, achat d’un ordinateur, etc.)</t>
  </si>
  <si>
    <t>Persoonlijk en uniek project voor een (jong)volwassene, gevalideerd door de familie Dispaux</t>
  </si>
  <si>
    <t>(615911) Dispauxfonds</t>
  </si>
  <si>
    <t>Fond Dispaux</t>
  </si>
  <si>
    <t>Projet personnel unique présenté par un jeune et validé par la famille Dispaux</t>
  </si>
  <si>
    <t>Sociale steun</t>
  </si>
  <si>
    <t>Soutien social</t>
  </si>
  <si>
    <t>Dienstencheques - Familiehulp</t>
  </si>
  <si>
    <t>(614010)Hulp aan huis</t>
  </si>
  <si>
    <t>Aide à domicile</t>
  </si>
  <si>
    <t>Titres-services - Aides familiales</t>
  </si>
  <si>
    <t>1) Lening voor een Akita-aerosoltoestel 2) Andere leningen indien ze dringend en/of noodzakelijk zijn voor het welzijn van de patiënt</t>
  </si>
  <si>
    <t>(614510)  Leningen</t>
  </si>
  <si>
    <t>Prêts</t>
  </si>
  <si>
    <t xml:space="preserve">1) Prêt pour un appareil aérosol Akita; 2) Prêt autre, si jugé urgent et/ou nécessaire au bien-être du patient </t>
  </si>
  <si>
    <t>Voorschotten voor verhoogde kinderbijslag, tegemoetkomingen voor volwassenen of studiebeurzen</t>
  </si>
  <si>
    <t>(614512) Voorschotten</t>
  </si>
  <si>
    <t>Avances</t>
  </si>
  <si>
    <t>Avance d’allocations familiales majorées, d’allocations de remplacement de revenus et/ou d’intégration, ou d’une bourse d’études.</t>
  </si>
  <si>
    <t>Voorschot voor maximaal 2 maanden huurwaarborg</t>
  </si>
  <si>
    <t>(614513) Huurwaarborg</t>
  </si>
  <si>
    <t>Garantie locative</t>
  </si>
  <si>
    <t>Avance de maximum 2 mois de loyer pour garantie locative</t>
  </si>
  <si>
    <t>Kosten verbonden aan de juridische verdediging van individuele belangen van patiënten (bv. honoraria voor advocaten, expertise, enz.)</t>
  </si>
  <si>
    <t>(614712) Juridische steun</t>
  </si>
  <si>
    <t>Soutien juridique</t>
  </si>
  <si>
    <t>Frais liés à la défense juridique des intérêts personnels du patient (ex.: honoraires d'avocat, expertise, etc.)</t>
  </si>
  <si>
    <t>Dossierkosten, rappelkosten, administratieve kosten</t>
  </si>
  <si>
    <t>(614712)  Administratieve kosten</t>
  </si>
  <si>
    <t>Frais administratifs</t>
  </si>
  <si>
    <t>Frais de dossiers, de rappel ou de huissiers, amandes administratives</t>
  </si>
  <si>
    <t>(614410)Steun bijvoeding</t>
  </si>
  <si>
    <t xml:space="preserve">compléments nutritionnels </t>
  </si>
  <si>
    <t>Alimentation compléments</t>
  </si>
  <si>
    <t>(614911) medisch materiaal</t>
  </si>
  <si>
    <t>matériel médical (indirect)</t>
  </si>
  <si>
    <t>(614912)medisch materiaal fact. Muco vzw</t>
  </si>
  <si>
    <t>matériel médial (direct)</t>
  </si>
  <si>
    <t>Uitzonderlijke steun voor kosten die niet door de patiënt of zijn gezin kunnen gedragen worden en waarvan de noodzaak voor de patiënt aangetoond werd (bv. voeding, tandzorg, oorapparaat, logopedie, …)</t>
  </si>
  <si>
    <t xml:space="preserve">(614811)  Exceptionele steun  </t>
  </si>
  <si>
    <t>Soutien exceptionnel</t>
  </si>
  <si>
    <t>Soutien exceptionnel (partiel) pour des frais ne pouvant être assumés par le patient ou sa famille et dont la nécessité pour le patient a été démontrée (ex.: alimentation, soins dentaires, appareil auditif, logopédie, etc.)</t>
  </si>
  <si>
    <t>Transplantatie kosten</t>
  </si>
  <si>
    <t>Frais pour la Transplantation</t>
  </si>
  <si>
    <t>Ambulante medische kosten (=buiten opname) vanaf vooronderzoeken tot 6 maanden na de transplantatie: consultaties, onderzoeken, analyses, technische verstrekkingen, farmacutische kosten, materiaal)</t>
  </si>
  <si>
    <t xml:space="preserve">(614110)  Ambulante ziekenhuis kosten </t>
  </si>
  <si>
    <t xml:space="preserve">Frais hospitaliers ambulatoires </t>
  </si>
  <si>
    <t>Frais médicaux ambulatoires (hors hospitalisation), depuis les examens préliminaires et jusqu’à 6 mois après la transplantation : consultations, examens, analyses, actes techniques, pharmacie, matériel, etc.</t>
  </si>
  <si>
    <t>Farmaceutische kosten die buiten het ziekenhuis gemaakt werden vanaf vooronderzoeken tot 6 maanden na de transplantatie</t>
  </si>
  <si>
    <t>(614514) Apothekerskosten(getransplanteerden)</t>
  </si>
  <si>
    <t>Frais pharmaceutiques (pour transplantés)</t>
  </si>
  <si>
    <t>Frais pharmaceutiques engrangés en dehors de l'hôpital, depuis les examens préliminaires et jusqu’à 6 mois après la transplantation</t>
  </si>
  <si>
    <t>Medische kosten gemaakt gedurende een hospitalisatie vanaf vooronderzoeken tot 6 maanden na de transplantatie (bv. verblijfskosten, consultaties, onderzoeken, technische verstrekkingen, farmaceutische kosten, materiaal, …)</t>
  </si>
  <si>
    <t>(614411) hospitalisatiekosten Transplantatie</t>
  </si>
  <si>
    <t>Frais d'hospitalisation(pour transplantés)</t>
  </si>
  <si>
    <t>Frais médicaux durant une hospitalisation, depuis les examens préliminaires et jusqu’à 6 mois après la transplantation : frais de séjour, consultations, examens, analyses, actes techniques, pharmacie, matériel, etc.</t>
  </si>
  <si>
    <t>Vervoerskosten van de patiënt gemaakt in het kader van verplaatsingen tussen zijn verblijsplaats en het ziekenhuis, vanaf vooronderzoeken tot 6 maand na de transplantatie</t>
  </si>
  <si>
    <t>(615211) Getransplanteerde patienten vervoer</t>
  </si>
  <si>
    <t>Transport pour patients transplantés</t>
  </si>
  <si>
    <t>Frais de transports du patients entre son domicile et son centre, depuis les examens préliminaires et jusqu’à 6 mois après la transplantation</t>
  </si>
  <si>
    <t xml:space="preserve">(615212) verblijfkosten gezin en naasten </t>
  </si>
  <si>
    <t>séjour pour familles et proches</t>
  </si>
  <si>
    <t xml:space="preserve">Andere  vervoerskosten </t>
  </si>
  <si>
    <t>Autres frais de transport</t>
  </si>
  <si>
    <t>Therapiekosten</t>
  </si>
  <si>
    <t>Frais thérapeutiques</t>
  </si>
  <si>
    <t>Niet-terugbetaalbare remgelden voor kinesitherapie</t>
  </si>
  <si>
    <t>(614111)  Ambulante  kosten Kinebehandeling</t>
  </si>
  <si>
    <t>Frais ambulatoires pour la kiné</t>
  </si>
  <si>
    <t xml:space="preserve">Tickets modérateurs des séances kiné non remboursables </t>
  </si>
  <si>
    <t>Medische kosten gemaakt gedurende een hospitalisatie (ook daghospitalisaties): verblijfskosten, analyses, technische verstrekkingen, farmaceutische kosten, materiaal, enz.</t>
  </si>
  <si>
    <t>(614315) hospitalisatie kosten</t>
  </si>
  <si>
    <t>Frais d'hospitalisation(pour non transplantés)</t>
  </si>
  <si>
    <t>Frais médicaux durant une hospitalisation (même de jour) : frais de séjour, consultations, examens, analyses, actes techniques, pharmacie, matériel, etc.</t>
  </si>
  <si>
    <t>Verblijfskosten voor de familie (rooming in, hotel) bij een patiënt indien aanwezigheid noodzakelijk geacht wordt</t>
  </si>
  <si>
    <t>(614317)Verblijfkosten gezin(rooming in , hotel)</t>
  </si>
  <si>
    <t>Frais de séjour pour la famille(rooming in, hotel</t>
  </si>
  <si>
    <t>Frais de séjour d'un proche (rooming in, hôtel) auprès du patient hospitalisé en cas de présence nécessaire</t>
  </si>
  <si>
    <t>Dure behandelingen die niet terugbetaald worden en voorgeschreven werden door een mucoarts: geneesmiddelen (fucidine, noxafil, prolia, amiloride en resolor) en bloedglucosemeters</t>
  </si>
  <si>
    <t>(614312) Dure, niet terugbetaalde behandelingen</t>
  </si>
  <si>
    <t>Traitements coûteux non remboursés</t>
  </si>
  <si>
    <t>Traîtements coûteux non remboursés et prescrits par un médecin-muco : médicaments (ex.: Fucidine, Noxafil, Prolia, amiloride, AMITIZA et Resolor), lecteurs et capteurs de glycémie, autres traitements onéreux nécessaires</t>
  </si>
  <si>
    <t>BIPAP- en zuurstoftherapie</t>
  </si>
  <si>
    <t>614318) BIPAP/Zuurstof</t>
  </si>
  <si>
    <t>BIPAP/Oxygène</t>
  </si>
  <si>
    <t>Thérapie BIPAP, Oxigénothérapie</t>
  </si>
  <si>
    <t>Premies van hospitalisatieverzekeringen</t>
  </si>
  <si>
    <t>(614313) Premie hospitalisatie verzekering</t>
  </si>
  <si>
    <t>Prime pour l'assurance hospitalisation</t>
  </si>
  <si>
    <t>Prime de l'assurance hospitalisation</t>
  </si>
  <si>
    <t>Lidgelden van ziekenfondsen, premies van aanvullende verzekering, premies van zorgkas</t>
  </si>
  <si>
    <t>(614316) Premie ziekenfonds/zorgverzekering</t>
  </si>
  <si>
    <t>Prime mutuelle(assurance soins)</t>
  </si>
  <si>
    <t>Cotisations mutuelle, primes de l'assurance complémentaire, primes de la zorgkas</t>
  </si>
  <si>
    <t>Ambulante medische kosten (=buiten opname): consultaties, onderzoeken, technische verstrekkingen, farmaceutische kosten, materiaal, enz.</t>
  </si>
  <si>
    <t xml:space="preserve">(614311) Ambulante ziekenhuiskosten Behandeling patienten </t>
  </si>
  <si>
    <t>Frais ambulatoires hôpital(pour non transplantés)</t>
  </si>
  <si>
    <t>Frais médicaux ambulatoires (hors hospitalisation): consultations, examens, analyses, actes techniques, pharmacie, matériel, etc.</t>
  </si>
  <si>
    <t>Farmaceutische kosten die buiten het ziekenhuis gemaakt werden</t>
  </si>
  <si>
    <t>(614511) Apothekerkosten</t>
  </si>
  <si>
    <t>Frais pharmaceutiques (pour non transplantés)</t>
  </si>
  <si>
    <t>Frais pharmaceutiques engrangés en dehors de l'hôpital par les patients non transplantés</t>
  </si>
  <si>
    <t>Vervoerskosten van de patiënt gemaakt in het kader van verplaatsingen tussen zijn verblijfsplaats en het ziekenhuis</t>
  </si>
  <si>
    <t>(614611) Patienten vervoer Centrum/thuis</t>
  </si>
  <si>
    <t>Transport pour patients non transplantés(centre muco-domicile)</t>
  </si>
  <si>
    <t xml:space="preserve">Frais de transport du patient pour ses déplacements entre le domicile et son centre muco </t>
  </si>
  <si>
    <t xml:space="preserve">Kosten verbonden aan verplaatsingen van de patiënt niet gerelateerd kunnen worden tot een ziekenhuisbezoek (bv.om zich te begeven naar een medisch onderzoek van de FOD SZ) + transportkosten van een naaste indien noodzakelijk geacht (bv. om patiënt te bezoeken) </t>
  </si>
  <si>
    <t>(614613) Ander vervoer</t>
  </si>
  <si>
    <t xml:space="preserve">Frais liés à des transports nécessaires du patients, hors visites au centre muco (ex.: pour se rendre à l'examen du SPF) + Frais de transport d'un proche (ex.: pour visiter le patient lors d'une hospitalisation), uniquement si jugé nécessaire </t>
  </si>
  <si>
    <t>Verblijfskosten voor revalidatiecentra</t>
  </si>
  <si>
    <t>(614711) Revalidatie Zeepreventorium&amp;Pulderbos</t>
  </si>
  <si>
    <t>Revalidation(Zeepreventorium&amp;Pulderbos)</t>
  </si>
  <si>
    <t>Frais de séjour en centre de revalidation</t>
  </si>
  <si>
    <t>Medische kosten verbonden aan vruchtbaarheidsbehandeling</t>
  </si>
  <si>
    <t>(615011) Vruchtbaarheidsbehandeling</t>
  </si>
  <si>
    <t>PMA</t>
  </si>
  <si>
    <t>Frais médicaux liés à une procréation médicalement assistée (consultations, examens, analyses, actes techniques, pharmacie, matériel, etc.)</t>
  </si>
  <si>
    <t>(614211)IV KUREN</t>
  </si>
  <si>
    <t>CURES IV</t>
  </si>
  <si>
    <t>Begeleiding door psycholoog of psychiater buiten het mucocentrum</t>
  </si>
  <si>
    <t>(615711) Psychologische steun individuele begeleiding&amp;therapie</t>
  </si>
  <si>
    <t>Soutien psychologique individuel</t>
  </si>
  <si>
    <t>Suivi auprès d'un psychologue ou d'un psychiatre, hors centre muco</t>
  </si>
  <si>
    <t>Zorg en begeleiding pat &amp; fam</t>
  </si>
  <si>
    <t>Soins et accompagnement patients et familles</t>
  </si>
  <si>
    <t>Kwaliteit zorg project</t>
  </si>
  <si>
    <t>Projet qualité des soins</t>
  </si>
  <si>
    <t>Bijeenkomsten die we organiseren tussen diverse groepen zorgverleners van de centra (verpleegkundigen, psychologen, …) met het oog op de uitwisseling van 'best practices' en kwaliteitsverbetering</t>
  </si>
  <si>
    <t>(613312) Muco platforms</t>
  </si>
  <si>
    <t>Platteformes des centres Muco</t>
  </si>
  <si>
    <t>Plateformes réunissant les professionnels des centres muco, organisées par fonction (ex.: infirmières, psychologues, assistants sociaux, etc.) en vue d'échanger les meilleures pratiques et d'améliorer les prises en charge</t>
  </si>
  <si>
    <t>Bezoeken van het personeel van de Mucovereniging aan de muco/revalidatiecentra met als doel om samen te werken met het lokale mucoteam en de patiënten te ontmoeten gedurende consultaties of hospitalisaties.</t>
  </si>
  <si>
    <t>(615611) Ziekenhuisbegeleiding</t>
  </si>
  <si>
    <t>Accompagnement à l'hôpital</t>
  </si>
  <si>
    <t>Visites du personnel du Service Familles et Adultes aux centres muco et de revalidation en vue d'y collaborer avec l'équipe et d'y rencontrer les enfant et adultes qui ont la muco (lors de consultations ou d'hospitalisations) et leur famille</t>
  </si>
  <si>
    <t>Centrumproject. Jaarlijks toegekend in functie van aantal gevolgde patiënten in het centrum.</t>
  </si>
  <si>
    <t>(619012) Steun Mucocentrum UZ Gent</t>
  </si>
  <si>
    <t>Soutien au centre muco Gand</t>
  </si>
  <si>
    <t>Projet de centre /annuellement alloué en fonction du nombre de patients suivis dans le centre</t>
  </si>
  <si>
    <t>Steun aan de verdere ontwikkeling van de kwaliteit van  de zorg en aan de strijd tegen muco.</t>
  </si>
  <si>
    <t xml:space="preserve">(619013) Steun Mucocentrum(algemeen) </t>
  </si>
  <si>
    <t>Soutien général aux centres muco</t>
  </si>
  <si>
    <t xml:space="preserve">Soutien  auxdéveloppement continue de la qualité des soins et de la lutte contre la muco </t>
  </si>
  <si>
    <t>(619112) Steun Mucocentrum st Vincentius</t>
  </si>
  <si>
    <t>Soutien au centre muco st vincentius</t>
  </si>
  <si>
    <t>(619113) Steun Mucocentrum Pulderbos</t>
  </si>
  <si>
    <t>Soutien au centre muco pulderbos</t>
  </si>
  <si>
    <t>(619212) steun mucocentrum UZ Antwerpen</t>
  </si>
  <si>
    <t>Soutien au centre muco uz antwerpen</t>
  </si>
  <si>
    <t>(619312) Steun Mucocentrum UZ Leuven</t>
  </si>
  <si>
    <t>Soutien général aux centres (Erasme et Leuven)</t>
  </si>
  <si>
    <t>(619512) Steun Mucocentrum UZ Brussel</t>
  </si>
  <si>
    <t>Soutien général aux centres (Erasme et Brussel)</t>
  </si>
  <si>
    <t>(619612) Steun Mucocentrum ULB (Erasmus&amp;Hude)</t>
  </si>
  <si>
    <t>Soutien général aux centres (Erasme et Hude)</t>
  </si>
  <si>
    <t>(619712) Steun Mucocentrum UCL</t>
  </si>
  <si>
    <t>Soutien au centre muco ucl</t>
  </si>
  <si>
    <t>(619812) Steun Mucocentrum Luik</t>
  </si>
  <si>
    <t>Soutien au centre muco Liège</t>
  </si>
  <si>
    <t>(619912) Steun Mucocentrum Zeepreventorium</t>
  </si>
  <si>
    <t>Soutien au centre muco zeepreventorium</t>
  </si>
  <si>
    <t>Ondersteuning van de activiteiten die we ondernemen met het oog op belangenverdediging &amp; Campagne belangenbehartiging</t>
  </si>
  <si>
    <t>(614916)Belangenverdediging (fam&amp;volwassenen)</t>
  </si>
  <si>
    <t>Défense des intérêts</t>
  </si>
  <si>
    <t>Soutien des activités que nous entreprenons en vue de défendre les intérêts et la campagne de défense des intérêts</t>
  </si>
  <si>
    <t>Campagne politique</t>
  </si>
  <si>
    <t>Ondersteuning van alle belangenverdigingsinitiatieven met het oog op de verwezenlijking van neonatale screening in ons land.</t>
  </si>
  <si>
    <t>Project Neonatale screening</t>
  </si>
  <si>
    <t>Projet dépistage néonatal</t>
  </si>
  <si>
    <t>Soutien de toutes les initiatives de défense des intérêts visant à assurer la mise en place du dépistage néonatal systématique dans notre pays.</t>
  </si>
  <si>
    <t>Analyse van de data van de kostenenquête om een beter zicht te krijgen op mucogerelateerde kosten. Het uiteindelijke doel is om onze belangenverdediging toe te spitsen de noden van personen met muco en/of hun gezin.</t>
  </si>
  <si>
    <t>Kostenproject</t>
  </si>
  <si>
    <t>Projet coûts</t>
  </si>
  <si>
    <t>Analyse des données de l'enquête sur les coûts afin d'obtenir une meilleure compréhension des coûts liés à la mucoviscidose, et ceci afin de mieux cibler nos actions de défense des intérêts sur les besoins réels des personnes qui ont la muco ou de leur famille</t>
  </si>
  <si>
    <t>(1) Analyse van de data van de kostenenquête en samenbrengen met de resultaten van JOVOenquête// (2) eind 2017: includeren van noden gedetecteerd bij diverse doelgroepen// (3) detectie en systematisch oplijsten van onderliggende verschillen tussen verzekeraars (bv. waarborg ambulante kosten) /detectie van problemen die niet door de patiënt identificeerwaar zijn wegens gebrek aan informatie (vb. aangepast werk, of melden van vervangingsinkomen bij FOD)</t>
  </si>
  <si>
    <t>Project Zorgbeleid</t>
  </si>
  <si>
    <t>Projet politique des soins</t>
  </si>
  <si>
    <t xml:space="preserve">(1) Analyse des données de l'enquête sur les coûts et mise en commun avec les résultats de la JOVOenquête // (2) Fin de 2017: inclusion des besoins détectés pour nos différents groupes cibles // (3) détéction des différences entre assureurs (ex.: différences des courvertures des assurances hospi et des garanties ambulatoires pour maladies graves)/ détection de problèmes non-identifiables par les patients à cause d'un manque d’information (ex.: problèmes avec les précédures du SPF) </t>
  </si>
  <si>
    <t>Informatie aan families+educatie</t>
  </si>
  <si>
    <t>Info aux familles et éducation</t>
  </si>
  <si>
    <t>brochures, flyers en mailings voor de doelgroepen van DF&amp;V (met uitzondering van het educatief materiaal voor scholen)</t>
  </si>
  <si>
    <t>(614314) Gedrukte informatie</t>
  </si>
  <si>
    <t>Imprimés</t>
  </si>
  <si>
    <t>brochures, flyers et mailings pour les groupes cibles du SF&amp;A (sauf imprimés educatifs pour écoles)</t>
  </si>
  <si>
    <t>Informatie online</t>
  </si>
  <si>
    <t>Informations en ligne</t>
  </si>
  <si>
    <t>Ontmoetingsdagen voor gezinnen en naasten (bv. Wetteren)</t>
  </si>
  <si>
    <t xml:space="preserve">(614114)Ontmoetingsdagen </t>
  </si>
  <si>
    <t>Journées de rencontre</t>
  </si>
  <si>
    <t>Journées de rencontre et d'information pour les familles et proches de patients (ex.: Wetteren)</t>
  </si>
  <si>
    <t>Platform lotgenotencontact</t>
  </si>
  <si>
    <t xml:space="preserve">Plateformes d'échanges entre patients </t>
  </si>
  <si>
    <t>Lesmaterialen voor scholen en bezoeken aan scholen</t>
  </si>
  <si>
    <t>(614214) Educatief project</t>
  </si>
  <si>
    <t>Projet educatif</t>
  </si>
  <si>
    <t xml:space="preserve">Matériaux éducatifs pour écoles et visites dans les écoles </t>
  </si>
  <si>
    <t>Alle drukwerken die aangeboden worden aan families (bv. informatiepakket voor ouders na diagnose)</t>
  </si>
  <si>
    <t xml:space="preserve">(614314) Geschreven informatie aan families </t>
  </si>
  <si>
    <t>Informations écrites aux familles</t>
  </si>
  <si>
    <t>Brochures, livrets, flyers et autres productions écrites de l'association offertes aux familles (ex.: le kit d'information livrés aux parents après le diagnostic)</t>
  </si>
  <si>
    <t>Pilootproject: organisatie van opleidingen rond kinesitherapie voor ouders met aandacht voor de diverse leeftijdsgroepen waartoe hun kinderen behoren (kleuters, adolescenten, …)</t>
  </si>
  <si>
    <t>Kine Vorming</t>
  </si>
  <si>
    <t>Formation Kiné</t>
  </si>
  <si>
    <t>Projet pilote : organisation de journées de formation en kiné pour les parents, ciblant chacune un groupe d'âge spécifique (ex.: les tout petits, les enfants, les ados)</t>
  </si>
  <si>
    <t>Aankopen voeding&amp;med.mat</t>
  </si>
  <si>
    <t xml:space="preserve">Achat nourriture et matériel médical </t>
  </si>
  <si>
    <t>Tussenkomst in de bestellingen van bijvoeding (via de Mucovereniging)</t>
  </si>
  <si>
    <t xml:space="preserve">(604017) Aankopen bijvoeding </t>
  </si>
  <si>
    <t>Achat nourriture calorique</t>
  </si>
  <si>
    <t>Achats Intervention dans le coût des commandes de compléments alimentaires (via l'association)</t>
  </si>
  <si>
    <t>Tussenkomst in de bestellingen van enterale voeding (via de Mucovereniging) en in de aankoop of de verhuur van materiaal die hiermee gerelateerd kan worden</t>
  </si>
  <si>
    <t>(604117) Aankopen sondevoeding</t>
  </si>
  <si>
    <t>Achat nourriture par sonde</t>
  </si>
  <si>
    <t>Achats Intervention dans le coût des commandes de nourriture entérale et dans l'achat ou la location du matériel lié à ce mode de nutrition (via l'association)</t>
  </si>
  <si>
    <t>Tussenkomst bij bestellingen van medisch materiaal (bv. onderdelen aerosoltoestel) of kinesitherapiemateriaal (bv. flutter, banden, …) via de Mucovereniging</t>
  </si>
  <si>
    <t>(604018) Aankopen medisch materiaal</t>
  </si>
  <si>
    <t>Achat de matériel médical</t>
  </si>
  <si>
    <t>Achats Intervention dans le coût des commandes de matériel médical (ex.: composants pour aérosolthérapie) ou de kinésithérapie (ex.: ballons, sangles, flutter, etc) (via l'association)</t>
  </si>
  <si>
    <t>Loonkosten van het Families dienst personeel</t>
  </si>
  <si>
    <t xml:space="preserve">Personeel </t>
  </si>
  <si>
    <t xml:space="preserve">Personnel </t>
  </si>
  <si>
    <t>Charges salariales du personnel du service à l'exception des frais dédiés à l'accomplissement de projets spécifiques comme la défense des intérêts, le projet de la politique des soins, le screening néonatal</t>
  </si>
  <si>
    <t>TOTAAL  STEUN FAMILIES</t>
  </si>
  <si>
    <t xml:space="preserve">TOTAL SOUTIEN FAMILLES </t>
  </si>
  <si>
    <t>Communicatie &amp; Sensibilisatie</t>
  </si>
  <si>
    <t>Communication &amp; Sensibilisation</t>
  </si>
  <si>
    <t>Uitgaven voor hosting website en domeinnaam, onderhoud en updates</t>
  </si>
  <si>
    <t>(619021)Website</t>
  </si>
  <si>
    <t>Website</t>
  </si>
  <si>
    <t>Kosten voor de website, webshop, actieplatform en e-mailingsysteem</t>
  </si>
  <si>
    <t xml:space="preserve">Kosten gerelateerd aan Public Relations, zoals monitoring visibiliteit Mucovereniging en nieuws rond mucoviscidose via persknipsels. </t>
  </si>
  <si>
    <t>(612821) Public Relations( anciennement persknipsels)</t>
  </si>
  <si>
    <t xml:space="preserve">Relations publiques </t>
  </si>
  <si>
    <t>Frais en rapport avec les relations publiques comme par exemple le monitoring  sur la visibilité de l'association Muco et les informations sur la mucoviscidose dans les coupures de presse</t>
  </si>
  <si>
    <t>Uitgaven voor Contactblad: lay-out, druk en verzending</t>
  </si>
  <si>
    <t xml:space="preserve">Magazine&amp;Muco contact </t>
  </si>
  <si>
    <t>Bulletin Muco</t>
  </si>
  <si>
    <t>Dépenses pour le bulletin muco: lay-out, impression et envoi</t>
  </si>
  <si>
    <t>(612921)Contactblad 1</t>
  </si>
  <si>
    <t>Bulletin muco 1</t>
  </si>
  <si>
    <t>(612922)Contactblad 2</t>
  </si>
  <si>
    <t>Bulletin muco 2</t>
  </si>
  <si>
    <t>Contactblad 3</t>
  </si>
  <si>
    <t>Bulletin muco 3</t>
  </si>
  <si>
    <t>Contactblad 4</t>
  </si>
  <si>
    <t>Bulletin muco 4</t>
  </si>
  <si>
    <t>(614015)Magazine Asem</t>
  </si>
  <si>
    <t xml:space="preserve">(614014)Muco contact </t>
  </si>
  <si>
    <t>(614013)Jaarverslag</t>
  </si>
  <si>
    <t>Jaarverslag</t>
  </si>
  <si>
    <t>Materiaal ter ondersteuning van acties of sensibilisatiemateriaal zoals folders</t>
  </si>
  <si>
    <t>(619022) Promotiemateriaal</t>
  </si>
  <si>
    <t>Matériel de promotion</t>
  </si>
  <si>
    <t xml:space="preserve">Matériel pour soutenir les actions ou le matériel de sensibilisation comme les folders </t>
  </si>
  <si>
    <t xml:space="preserve">Récolte de fonds </t>
  </si>
  <si>
    <t>Externe mailings(DSC)</t>
  </si>
  <si>
    <t>Mailings in samenwerking met Direct Social Communications</t>
  </si>
  <si>
    <t>(619023)Externe mailings produktie</t>
  </si>
  <si>
    <t>Mailings externes  Production</t>
  </si>
  <si>
    <t>Mailings en collaboration avec DSC</t>
  </si>
  <si>
    <t>(619024)Externe mailings honoraria</t>
  </si>
  <si>
    <t>Mailing externes honoraires</t>
  </si>
  <si>
    <t>(619026)Externe mailings beheer van bestand</t>
  </si>
  <si>
    <t>Mailing externes Gestion des données</t>
  </si>
  <si>
    <t>(619027)Externe mailings beheer donateurs</t>
  </si>
  <si>
    <t>Mailings externes  Gestion des donateurs</t>
  </si>
  <si>
    <t>Externe mailings/overgedragen kosten 2021</t>
  </si>
  <si>
    <t>Facturatie diverse kosten(DSC)</t>
  </si>
  <si>
    <t>Interne mailings</t>
  </si>
  <si>
    <t>Voorziene middelen voor recrutering nieuwe schenkers</t>
  </si>
  <si>
    <t>Moyens mis en œuvres pour le recrutement de nouveaux donateurs</t>
  </si>
  <si>
    <t>Mailing naar aanleiding van versturen fiscale attesten</t>
  </si>
  <si>
    <t>Mailing Fiscale Attesten</t>
  </si>
  <si>
    <t>Mailing attestation fiscale</t>
  </si>
  <si>
    <t>Frais en rapport avec l'envoi des attestations fiscales</t>
  </si>
  <si>
    <t>Eindejaarsmailing naar mensen die dit jaar of vorig jaar een gift hebben uitgevoerd</t>
  </si>
  <si>
    <t>Reactivatiemailing 1</t>
  </si>
  <si>
    <t>Mailing de réactivation 1</t>
  </si>
  <si>
    <t>Mailing de fin d'année pour les donateurs qui nous ont fait un don pour l'année en cours ou l'année précédente</t>
  </si>
  <si>
    <t>Eindejaarsmailing naar mensen die een laatste gift hebben uitgevoerd twee jaar geleden</t>
  </si>
  <si>
    <t>Reactivatiemailing 2</t>
  </si>
  <si>
    <t>Mailing de réactivation 2</t>
  </si>
  <si>
    <t>Mailing de fin d'année pour les donateurs qui n'ont pas fait de dons depuis 2 ans</t>
  </si>
  <si>
    <t>Communicatie naar aanleiding van giften donateurs zoals dankbrieven</t>
  </si>
  <si>
    <t>(619129) Fidelisering donateurs</t>
  </si>
  <si>
    <t>Fidélisation des donateurs</t>
  </si>
  <si>
    <t xml:space="preserve">Communication en rapport avec les donateurs comme les lettres de remerciements </t>
  </si>
  <si>
    <t>Andere</t>
  </si>
  <si>
    <t>Autres</t>
  </si>
  <si>
    <t>Uitgaven naar aanleiding van het legatenprogramma, zoals samenwerking met Testament.be</t>
  </si>
  <si>
    <t>Legaten</t>
  </si>
  <si>
    <t>Legs</t>
  </si>
  <si>
    <t>Dépenses en rapport avec les programmes de testaments comme la collaboration avec Testament.be</t>
  </si>
  <si>
    <t>(619131)Legaten</t>
  </si>
  <si>
    <t>(619133)Legacy journey</t>
  </si>
  <si>
    <t>Legacy journey</t>
  </si>
  <si>
    <t>Administratieve kosten legaten</t>
  </si>
  <si>
    <t>Administratieve kosten legs?</t>
  </si>
  <si>
    <t>Uitgaven gericht naar het opzetten van samenwerking met bedrijven</t>
  </si>
  <si>
    <t>Corporate Sponsorships</t>
  </si>
  <si>
    <t>Sponsoring des entreprises</t>
  </si>
  <si>
    <t>Dépenses pour mettre en place la collaboration avec les entreprises</t>
  </si>
  <si>
    <t>(619028)Streetfundraising</t>
  </si>
  <si>
    <t>Streetfundraising</t>
  </si>
  <si>
    <t>Nieuwe inkomsten project</t>
  </si>
  <si>
    <t>Projet Nouvelles recettes</t>
  </si>
  <si>
    <t>Uitgaven van verschillende lokale acties</t>
  </si>
  <si>
    <t>Lokale acties</t>
  </si>
  <si>
    <t>Actions</t>
  </si>
  <si>
    <t xml:space="preserve">Dépenses pour les différentes actions régionales </t>
  </si>
  <si>
    <t>(619425) Lokale acties algemeen</t>
  </si>
  <si>
    <t>Actions régionales /Général</t>
  </si>
  <si>
    <t>(619427)Acties Muco Liège</t>
  </si>
  <si>
    <t>Actions muco Liège</t>
  </si>
  <si>
    <t>(619428)Acties Roeselare</t>
  </si>
  <si>
    <t>Actions muco Roeselare</t>
  </si>
  <si>
    <t>(619420)20KM Brussel - RunforAir(20km Brussel)</t>
  </si>
  <si>
    <t>Runforair(20km de bruxelles)</t>
  </si>
  <si>
    <t>Uitgaven naar aanleiding van de verschillende verkoopsacties die door de Mucovereniging worden opgezet</t>
  </si>
  <si>
    <t>Verkoopsacties</t>
  </si>
  <si>
    <t>Actions de vente</t>
  </si>
  <si>
    <t>Dépenses en rapport avec les différentes actions de ventes organisées par l'association</t>
  </si>
  <si>
    <t>(604126) Wenskaarten</t>
  </si>
  <si>
    <t>Carte de vœux</t>
  </si>
  <si>
    <t>604226) Pralines</t>
  </si>
  <si>
    <t>Chocolat</t>
  </si>
  <si>
    <t>604326? Tabletten</t>
  </si>
  <si>
    <t>Tablettes de chocolat</t>
  </si>
  <si>
    <t>(604127) Aapjes</t>
  </si>
  <si>
    <t>peluches de singes</t>
  </si>
  <si>
    <t>Maskers</t>
  </si>
  <si>
    <t>Masques</t>
  </si>
  <si>
    <t>Cartouches d'encre</t>
  </si>
  <si>
    <t xml:space="preserve">(604128) Fietsbellen </t>
  </si>
  <si>
    <t>Sonnettes de vélo</t>
  </si>
  <si>
    <t>(604125)Wenskaarten algemeen</t>
  </si>
  <si>
    <t>Wenskaarten algemeen</t>
  </si>
  <si>
    <t>(604129) Sokken</t>
  </si>
  <si>
    <t>Chaussettes Muco</t>
  </si>
  <si>
    <t>(604900)Stockvariatie</t>
  </si>
  <si>
    <t>Variation de stock</t>
  </si>
  <si>
    <t>Uitgaven naar aanleiding van  evenementen die door de Mucovereniging worden ondersteund</t>
  </si>
  <si>
    <t>Evenementen</t>
  </si>
  <si>
    <t>Evénements</t>
  </si>
  <si>
    <t>Dépenses en rapport avec les événements soutenus par l'association Muco</t>
  </si>
  <si>
    <t>(619530)Climbing for life</t>
  </si>
  <si>
    <t>Climbing for life</t>
  </si>
  <si>
    <t>Music for life</t>
  </si>
  <si>
    <t>(619227)Green van de hoop</t>
  </si>
  <si>
    <t>Green de l'espoir</t>
  </si>
  <si>
    <t>(619421)Culin'Air</t>
  </si>
  <si>
    <t>Culin'Air</t>
  </si>
  <si>
    <t>(619420)Run for Air</t>
  </si>
  <si>
    <t>Run for Air</t>
  </si>
  <si>
    <t>(619422)Move for Air</t>
  </si>
  <si>
    <t>Move for Air</t>
  </si>
  <si>
    <t>Uitgaven naar aanleiding van de mucoweek</t>
  </si>
  <si>
    <t>(619528) Mucoweek</t>
  </si>
  <si>
    <t>Semaine de la muco</t>
  </si>
  <si>
    <t>Dépenses en rapport avec la semaine de la Muco(organisée généralement en novembre de chaque année)</t>
  </si>
  <si>
    <t>Uitgaven gelieerd aan deelname van de Mucovereniging aan netwerken zoals de Vereniging voor Ethiek in de Fondsenwerving, BECI en Fundraisers Alliance</t>
  </si>
  <si>
    <t>(612822)Deelname aan netwerken</t>
  </si>
  <si>
    <t>Participation aux réseaux</t>
  </si>
  <si>
    <t>Dépenses pour la participation de l'association aux réseaux comme l'association pour la récolte éthique de fonds, la BECI ou l'alliance pour la récolte de fonds(Fundraisers alliance)</t>
  </si>
  <si>
    <t>Innovatie</t>
  </si>
  <si>
    <t>Innovation</t>
  </si>
  <si>
    <t>Opleidingen voor de medewerkers van de Dienst FRC</t>
  </si>
  <si>
    <t>(612722)Opleiding(enkel FRC)</t>
  </si>
  <si>
    <t>Formation (FRC)</t>
  </si>
  <si>
    <t>Frais de formation pour les collaborateurs du service FRC</t>
  </si>
  <si>
    <t>(619531)Innovatie</t>
  </si>
  <si>
    <t>Loonkosten van het FRC personeel.</t>
  </si>
  <si>
    <t>Personeel</t>
  </si>
  <si>
    <t>Charges salariales du personnel FRC avec déduction des frais dédiés à des projets spécifiques(comme le Muco 50 par exemple)</t>
  </si>
  <si>
    <t>TOTAAL COMMUNICATIE</t>
  </si>
  <si>
    <t xml:space="preserve">TOTAL COMMUNICATION </t>
  </si>
  <si>
    <t>Onderzoeksprojecten</t>
  </si>
  <si>
    <t>Recherche scientifique</t>
  </si>
  <si>
    <t>Onderzoeksprojecten (provisie)</t>
  </si>
  <si>
    <t>Mucoviscidoseregister</t>
  </si>
  <si>
    <t>Multicentrumproject met als doel om geneesmiddelen te testen met het oog op het opstarten van een gepersonaliseerde behandeling.</t>
  </si>
  <si>
    <t>Organoids project</t>
  </si>
  <si>
    <t>Projet"organoïdes"</t>
  </si>
  <si>
    <t>Projets de recherche  multicentre avec pour objectif de tester les médicaments en vue d'initier le  traitement personnalisé de la Mucoviscidose</t>
  </si>
  <si>
    <t>Onderzoeksprojecten die nu beheerd worden in samenwerking met de Koning Boudewijnstichting (jaarlijkse enveloppe van €250.000 is voorzien)</t>
  </si>
  <si>
    <t xml:space="preserve">(616031) Projecten </t>
  </si>
  <si>
    <t>Projets de Recherche</t>
  </si>
  <si>
    <t>Projets de recherche  désormais gérés  en collaboration avec la fondation roi Baudouin(une enveloppe annuelle de 250000 eur est prévue)</t>
  </si>
  <si>
    <t xml:space="preserve">voorschotten &amp;leningen </t>
  </si>
  <si>
    <t>ECFS</t>
  </si>
  <si>
    <t>Frais pour soutenir le fonctionnement de  ECFS ou ses  projets</t>
  </si>
  <si>
    <t xml:space="preserve">Kosten voor de wetenschappelijke medewerker </t>
  </si>
  <si>
    <t>personeel</t>
  </si>
  <si>
    <t>Frais pour le collaborateur scientifique</t>
  </si>
  <si>
    <t>Wetenschappelijke vorming</t>
  </si>
  <si>
    <t>Formation scientifique</t>
  </si>
  <si>
    <t xml:space="preserve">Kosten die het personeel van de Mucovereniging en de centra toelaten om deel te nemen aan internationale conferenties gerelateerd aan muco. Het doel is dat ze op de hoogte blijven van de recentste wetenschappelijke ontwikkelingen. </t>
  </si>
  <si>
    <t>(616132) Wetenschappelijke vorming</t>
  </si>
  <si>
    <t>Formation scientifique(général)</t>
  </si>
  <si>
    <t>Frais permettant au personnel de l'association et des centres de participer à des conférences internationales en rapport avec la Muco pour leur permettre d'échanger et de se tenir au courant des évolutions les plus récentes en rapport avec le traitement et la recherche sur la Muco</t>
  </si>
  <si>
    <t>Kosten die aan prof. Baran toelaten om zich op de hoogte te houden van de wetenschappelijke ontwikkelingen op het vlak van muco.</t>
  </si>
  <si>
    <t>(616232) Wetenschappelijke vorming Baran</t>
  </si>
  <si>
    <t>Formation scientifique prof Baran</t>
  </si>
  <si>
    <t>Fras permettant au prof.Baran de se tenir au courant de l'évolution de la recherche sur la Muco</t>
  </si>
  <si>
    <t>CF Europe&amp;intl samenwerking</t>
  </si>
  <si>
    <t>CF europe&amp;Collaboration internationale</t>
  </si>
  <si>
    <t>Kosten in verband met de samenwerking met zusterverenigingen (voornamelijk deze uit Oost-Europa).</t>
  </si>
  <si>
    <t>(613432) Internationale contacten</t>
  </si>
  <si>
    <t>Contacts internationaux</t>
  </si>
  <si>
    <t>Frais pour la collaboration avec les autres associations /surtout celles de l'Europe de l'Est</t>
  </si>
  <si>
    <t>Kosten om de werking van CF europe, ECFS en hun projecten te ondersteunen.</t>
  </si>
  <si>
    <t>(619132) CF Europe</t>
  </si>
  <si>
    <t>CF europe</t>
  </si>
  <si>
    <t>Frais pour soutenir le fonctionnement de CF europe ou ses  projets</t>
  </si>
  <si>
    <t>TOTAAL WETENSCHAPPEN</t>
  </si>
  <si>
    <t xml:space="preserve">TOTAL SCIENCES </t>
  </si>
  <si>
    <t>Terugname uit provisie</t>
  </si>
  <si>
    <t xml:space="preserve">Reprise de la provision </t>
  </si>
  <si>
    <t xml:space="preserve">Provisie voor projecten </t>
  </si>
  <si>
    <t>Provision pour les projets</t>
  </si>
  <si>
    <t>Huisvesting</t>
  </si>
  <si>
    <t>Espace de travail</t>
  </si>
  <si>
    <t>Alle kosten die in verband kunnen worden gebracht met het onderhoud en de renovatie van het gebouw.</t>
  </si>
  <si>
    <t>(611041)Onderhoudskosten gebouw</t>
  </si>
  <si>
    <t>Frais d'entretien du batiment</t>
  </si>
  <si>
    <t>Toutes les dépenses en rapport avec la rénovation et l'entretien du batiment</t>
  </si>
  <si>
    <t>Facturen van Shuurgard voor de huur van stockageruimtes voor archieven en handelswaar.</t>
  </si>
  <si>
    <t>huur opslagruimte</t>
  </si>
  <si>
    <t>location de l'espace de stockage</t>
  </si>
  <si>
    <t>Factures de Shuurgard pour la location des boxes de stockage pour les archives et les marchandises</t>
  </si>
  <si>
    <t>(610442) Verhuis naar 3 bruggen</t>
  </si>
  <si>
    <t>Facturen van de elektricteitsleverancier.</t>
  </si>
  <si>
    <t>(611141) Electriciteit</t>
  </si>
  <si>
    <t>Electricité</t>
  </si>
  <si>
    <t>Factures du fournisseur  d'électricité</t>
  </si>
  <si>
    <t>(611241) Warming</t>
  </si>
  <si>
    <t>Chauffage</t>
  </si>
  <si>
    <t>Facturtes du fournisseur de gaz</t>
  </si>
  <si>
    <t>Facturen van HYDROBRU.</t>
  </si>
  <si>
    <t>(611341) Water</t>
  </si>
  <si>
    <t>Eau</t>
  </si>
  <si>
    <t>Factures d'HYDROBRU</t>
  </si>
  <si>
    <t>Brand- en elektronicaverzekering.</t>
  </si>
  <si>
    <t>(611441) Verzekering gebouw</t>
  </si>
  <si>
    <t>Assurance du batiment</t>
  </si>
  <si>
    <t>Assurance incendie et risques électroniques</t>
  </si>
  <si>
    <t>Algemene werking+Kwaliteitsproject</t>
  </si>
  <si>
    <t xml:space="preserve">Frais de fonctionnement  </t>
  </si>
  <si>
    <t>Facturen van het sociaal secretariaat of van een consultant inzake rekrutering of inzake het ontslag van personeel. Ook kosten die in verband kunnen worden gebracht met de behandeling en de aankondiging van kandidaturen.</t>
  </si>
  <si>
    <t>(610442) Personeelsrecrutering&amp;organisatie</t>
  </si>
  <si>
    <t>Frais de recrutement du personnel et organisation HR</t>
  </si>
  <si>
    <t>Factures du secrétariat social ou de consultant en matière de recrutement ou de renvoi du personnel ainsi que les frais d'annonce et de traitement des candidatures</t>
  </si>
  <si>
    <t>Kosten voor verbruiksgoederen (drank…) van onze keuken.</t>
  </si>
  <si>
    <t>(612542) Keuken</t>
  </si>
  <si>
    <t>Cantine</t>
  </si>
  <si>
    <t>Frais pour les consommables (boissons…) de notre cuisine</t>
  </si>
  <si>
    <t>Kosten voor de activiteiten van de RvB en de AV.</t>
  </si>
  <si>
    <t>(613042) Raad van Bestuur &amp;A.V.</t>
  </si>
  <si>
    <t>Conseil d'adminitation et assemblée générale</t>
  </si>
  <si>
    <t>Frais pour les activités du CA et de l'assemblée générale</t>
  </si>
  <si>
    <t>Kosten voor de organisatie van de equipe (teambuilding, jaarlijks cadeau in de vorm van maaltijdcheques, …)</t>
  </si>
  <si>
    <t>(613142) Team</t>
  </si>
  <si>
    <t>Equipe</t>
  </si>
  <si>
    <t>Frais pour l'organisation de l'équipe( teambuilding, chèques cadeau annuels,…)</t>
  </si>
  <si>
    <t>Kosten voor de activiteiten van vrijwilligers.</t>
  </si>
  <si>
    <t>(613242) Vrijwilligers-medewerkers</t>
  </si>
  <si>
    <t>Volontaires et collaborateurs</t>
  </si>
  <si>
    <t>Frais pour les activités des bénévoles</t>
  </si>
  <si>
    <t>Verzekeringspremie.</t>
  </si>
  <si>
    <t>613542) Verzekering BA uitbating</t>
  </si>
  <si>
    <t>Assurance responsabilité civile</t>
  </si>
  <si>
    <t xml:space="preserve">Prime d'assurance </t>
  </si>
  <si>
    <t>Facturen voor de reorganisatie van de Vereniging (Shift'N).</t>
  </si>
  <si>
    <t>(613043) MUCO PROJECT</t>
  </si>
  <si>
    <t>Association muco/le projet</t>
  </si>
  <si>
    <t>factures pour la réorganisation de l'association(essentiellement de Shift'N)</t>
  </si>
  <si>
    <t>Bureaubenodigdheden</t>
  </si>
  <si>
    <t>Fournitures de bureau</t>
  </si>
  <si>
    <t>Verbruiksgoederen voor het bureau.</t>
  </si>
  <si>
    <t xml:space="preserve">(612043) Bureaubenodigheden </t>
  </si>
  <si>
    <t>Consommables pour le bureau(papier, bics, cartouches d'imprimantes,..)</t>
  </si>
  <si>
    <t>Onderhouds- en reparatiekosten voor printers.</t>
  </si>
  <si>
    <t xml:space="preserve">(612343) Onderhoud&amp;herstellingen </t>
  </si>
  <si>
    <t>Entretiens et réparations</t>
  </si>
  <si>
    <t>Essentiellement l'entretien et la réparation pour les imprimantes</t>
  </si>
  <si>
    <t>De factuur van Reprobel/voor het recht om documenten over te nemen.</t>
  </si>
  <si>
    <t>(612443) Fotocopies</t>
  </si>
  <si>
    <t xml:space="preserve">photocopies </t>
  </si>
  <si>
    <t>Essentiellement la facture de Reprobel/pour le droit de reproduire les documents</t>
  </si>
  <si>
    <t>Post &amp; telefoon</t>
  </si>
  <si>
    <t>Poste et Téléphone</t>
  </si>
  <si>
    <t>Facturen van de post in het algemeen/verzending van koopwaar of verzendingen verbonden aan projecten. Betreft niet: Green, medisch materiaal.</t>
  </si>
  <si>
    <t>(612144) Post</t>
  </si>
  <si>
    <t>La poste</t>
  </si>
  <si>
    <t>Factures de la poste en général/les envois de produits de vente ou liés à des projets(Green ou mat médical ne sont pas concernées)</t>
  </si>
  <si>
    <t>Facturen van telefoon- en internetleverancier.</t>
  </si>
  <si>
    <t>(612244) Telefoon</t>
  </si>
  <si>
    <t>le téléphone</t>
  </si>
  <si>
    <t>Factures du fournisseur de téléphone et internet</t>
  </si>
  <si>
    <t>Facturen in verband met IT/Helpdesk, database en onderbrengen van servers</t>
  </si>
  <si>
    <t>(610145) Informatica, bestandsbeheer</t>
  </si>
  <si>
    <t>Informatique et gestion des fichiers</t>
  </si>
  <si>
    <t>Factures en rapport avec IT/helpdesk, database, hebergement des servers</t>
  </si>
  <si>
    <t>Administratieve kosten</t>
  </si>
  <si>
    <t>Factuur voor onderhoud en updaten van boekhoudkundige applicatie.</t>
  </si>
  <si>
    <t>(610046) Boekhouding</t>
  </si>
  <si>
    <t>Comptabilité</t>
  </si>
  <si>
    <t>Facture pour l'entretien et la mise à jour du logiciel comptable</t>
  </si>
  <si>
    <t>(610146) Honoraria van de commissaris</t>
  </si>
  <si>
    <t>Honoraires du commissaire aux comptes</t>
  </si>
  <si>
    <t>Administratieve kosten van het sociaal secretariaat.</t>
  </si>
  <si>
    <t>(610246)Sociaal secretariaat</t>
  </si>
  <si>
    <t>Secrétariat social</t>
  </si>
  <si>
    <t>Frais administratifs du secrétariat social</t>
  </si>
  <si>
    <t>Loonkosten van het administratieve personeel.</t>
  </si>
  <si>
    <t>Personeel administratie</t>
  </si>
  <si>
    <t>Personnel  administratif</t>
  </si>
  <si>
    <t>Charges salariales du personnel administratif</t>
  </si>
  <si>
    <t>Aflossing van schulden voor het gebouw, de renovatie, de reorganisatie, het bureaumateriaal (computers en printers)</t>
  </si>
  <si>
    <t>Afschrijvingen</t>
  </si>
  <si>
    <t>Amortissements</t>
  </si>
  <si>
    <t xml:space="preserve">amortissement du batiment, de la rénovation, de la réorganisation, du matériel de bureau(imprimante, pc) </t>
  </si>
  <si>
    <t>(630253)Afschrijving gebouw</t>
  </si>
  <si>
    <t>Amortissement du bâtiment</t>
  </si>
  <si>
    <t xml:space="preserve">(630352)Aschrijving kantoor materiaal </t>
  </si>
  <si>
    <t>Amortissement du matériel de bureau</t>
  </si>
  <si>
    <t xml:space="preserve">(630452) Afschrijving informatica materiaal </t>
  </si>
  <si>
    <t>Amortissement du matériel informatique</t>
  </si>
  <si>
    <t>(630254)Afschrijving gebouw renovatie</t>
  </si>
  <si>
    <t xml:space="preserve">Amortissement de la rénovation </t>
  </si>
  <si>
    <t>(630000)Afschrijving Het Muco project(restructuratie)</t>
  </si>
  <si>
    <t>Amortissement du projet de resctructuration</t>
  </si>
  <si>
    <t>Facturen die na verloop van 2 jaar niet betaald werden of waarvan de klant niet langer bereikbaar is.</t>
  </si>
  <si>
    <t>(634000) Dubieuze creances</t>
  </si>
  <si>
    <t>Créances douteuses</t>
  </si>
  <si>
    <t>Factures qui après deux ans ne sont pas payées ou dont le client n'est plus contactable</t>
  </si>
  <si>
    <t xml:space="preserve">637052) Provisie voor andere risicos &amp; lasten </t>
  </si>
  <si>
    <t>Provision pour autres risques et charges</t>
  </si>
  <si>
    <t>Belastingen &amp; financiële kosten</t>
  </si>
  <si>
    <t>Taxes et charges financières</t>
  </si>
  <si>
    <t>15% op financiële inkomsten (behalve producten van acties)</t>
  </si>
  <si>
    <t>(640061)roerende voorheffing</t>
  </si>
  <si>
    <t>Précompte mobilier</t>
  </si>
  <si>
    <t>15% sur les revenus financiers(exceptés les produits des actions)</t>
  </si>
  <si>
    <t>FOD Financiën/ Taks tot vergoeding van de successierechten</t>
  </si>
  <si>
    <t>(640361) Belasting op VZW</t>
  </si>
  <si>
    <t>Taxe annuelle des ASBL</t>
  </si>
  <si>
    <t>SPF/Taxe compensatoire des droits de succession</t>
  </si>
  <si>
    <t>Gemeentebelasting van Oudergem</t>
  </si>
  <si>
    <t xml:space="preserve">(640461)Belasting kantoor oppervlakken </t>
  </si>
  <si>
    <t>Impôt sur la surface de bureau</t>
  </si>
  <si>
    <t>taxe de la commune d'Auderghem</t>
  </si>
  <si>
    <t>Voorheffing voor ons gebouw/geïndexeerd</t>
  </si>
  <si>
    <t>(640561) Onroerende voorheffing</t>
  </si>
  <si>
    <t>Précompte immobilier</t>
  </si>
  <si>
    <t xml:space="preserve">Précompte pour notre batiment/indexé </t>
  </si>
  <si>
    <t>Belasting op beursverrichtingen in het buitenland.</t>
  </si>
  <si>
    <t>640661) Buitenlandse taks</t>
  </si>
  <si>
    <t>Taxe financière à l'étranger</t>
  </si>
  <si>
    <t>taxe sur les opérations boursières à l'étranger</t>
  </si>
  <si>
    <t>Belasting betaald op intracommunautaire aankopen (medische materiaal, aapjes, …)</t>
  </si>
  <si>
    <t>(640761)BTW</t>
  </si>
  <si>
    <t>Taxe sur la valeur ajoutée</t>
  </si>
  <si>
    <t>Taxe payée sur les achats effectués en intracommunautaires(matériel médical, Peluches de singes,..</t>
  </si>
  <si>
    <t>Heel beperkt: bestraffing ten gevolge van laattijdige betalingen van schulden.</t>
  </si>
  <si>
    <t xml:space="preserve">(650061) renten, commissies en kosten aan renten &amp;schulden </t>
  </si>
  <si>
    <t>Charges des dettes et commissions</t>
  </si>
  <si>
    <t>très limités: pénalisation suite aux paiements tardifs de créances</t>
  </si>
  <si>
    <t>(651061)Bankkosten</t>
  </si>
  <si>
    <t xml:space="preserve">Charges bancaires </t>
  </si>
  <si>
    <t>Frais de gestion des comptes bancaires ainsi que les services bancaires divers</t>
  </si>
  <si>
    <t>(650062&amp;650063) Interesten van het hypotheek</t>
  </si>
  <si>
    <t>Intérets du prêt hypothécaire</t>
  </si>
  <si>
    <t>(652061)Afrondingsverschil</t>
  </si>
  <si>
    <t>Différence d'arrondi</t>
  </si>
  <si>
    <t>Alg. persoonskosten</t>
  </si>
  <si>
    <t xml:space="preserve">Frais de personnel divers </t>
  </si>
  <si>
    <t>Hospitalisatieverzekering, omniumverzekering (voor professionele verplaatsingen).</t>
  </si>
  <si>
    <t xml:space="preserve">622099)Verzekeringen </t>
  </si>
  <si>
    <t>Assurances</t>
  </si>
  <si>
    <t>Assurance Groupe, Assurance hospi, assurance omnium(pour les déplacements dans le cadre professionnel)</t>
  </si>
  <si>
    <t>(623099) Maaltijdscheques</t>
  </si>
  <si>
    <t>Chèques repas</t>
  </si>
  <si>
    <t>(623088)Ecocheques</t>
  </si>
  <si>
    <t>Ecochèques</t>
  </si>
  <si>
    <t>(623199) Provisie op vakantiegeld-Toevoeging</t>
  </si>
  <si>
    <t>Provision pour  pécules de vacance-dotation</t>
  </si>
  <si>
    <t>(623299) Provisie op socialelasten -Toevoeging</t>
  </si>
  <si>
    <t>Provision pour les charges sociales--dotation</t>
  </si>
  <si>
    <t xml:space="preserve">(623399) Provisie op vakantiegeld -bestedingen </t>
  </si>
  <si>
    <t>Provision pour pécules de vacance-Utilisation</t>
  </si>
  <si>
    <t xml:space="preserve">(623499) Provisie op socialelasten-Bestedingen </t>
  </si>
  <si>
    <t>provision pour charges sociales-Utilisation</t>
  </si>
  <si>
    <t>(623599) Provisie op endjaarspremie-Toevoeging</t>
  </si>
  <si>
    <t>Provision pour prime de fin d'année-dotation</t>
  </si>
  <si>
    <t>(623699) Provisie op eindjaarpremie-Bestedingen</t>
  </si>
  <si>
    <t>Provision pour prime de fin d'année-utilisation</t>
  </si>
  <si>
    <t>(612721) Personeel opleiding</t>
  </si>
  <si>
    <t>Formation du personnel</t>
  </si>
  <si>
    <t>623201(Frais de déplacements)</t>
  </si>
  <si>
    <t>Frais de déplacements domicile lieu de travail</t>
  </si>
  <si>
    <t xml:space="preserve">Facturen ten laste van het vorige boekhoudkundige jaar die niet werden vervat in de afgesloten rekeningen. </t>
  </si>
  <si>
    <t xml:space="preserve">Uitzonderlijke kosten </t>
  </si>
  <si>
    <t xml:space="preserve">Charges exceptionnelles </t>
  </si>
  <si>
    <t>Factures à charge de l'année comptable précédente qui n'ont pas été considérées dans les comptes clôturés</t>
  </si>
  <si>
    <t>Vaak gaat het om facturen in verband met voedsel die laattijdig en op onvoorspelbare wijze bij ons toekomen.</t>
  </si>
  <si>
    <t>uitzonderlijke kosten/Families&amp;administratie</t>
  </si>
  <si>
    <t xml:space="preserve">Charges exceptionnelles/service famille </t>
  </si>
  <si>
    <t>Souvent les factures de la nourriture arrivent tard et de façon imprévisible</t>
  </si>
  <si>
    <t>Uitzonderlijke kosten/Communicatie</t>
  </si>
  <si>
    <t>charges exceptionnelles/Service communication</t>
  </si>
  <si>
    <t>Financiële minwaarden</t>
  </si>
  <si>
    <t>Moins values financières</t>
  </si>
  <si>
    <t>Het totaal van de verliezen op verkochte (gerealiseerde) activa wordt hier ondergebracht.</t>
  </si>
  <si>
    <t>(652000) Minwaarde realisatie  activa</t>
  </si>
  <si>
    <t xml:space="preserve"> Moins values sur réalisation d'actifs</t>
  </si>
  <si>
    <t>la totalité des diminutions(pertes) sur les actifs vendus(réalisés) est consignée ici.</t>
  </si>
  <si>
    <t>De wet verplicht dat de minderwaarden van alle beleggingen die zich nog in de portfolio bevinden, moeten worden geboekt (terwijl meerwaarden niet geboekt mogen worden)</t>
  </si>
  <si>
    <t>(661000)Minwaarde financiele vaste activa</t>
  </si>
  <si>
    <t xml:space="preserve">Réductions de valeurs sur immobilisations </t>
  </si>
  <si>
    <t>La loi exige que les diminutions en valeur(moins values) de tous les placements encore dans le portefeuille doivent être comptabilisés(alors que les augmentations en valeur(plus values) ne peuvent pas l'être)</t>
  </si>
  <si>
    <t>Actieplan 2019</t>
  </si>
  <si>
    <t>Plan d'action 2019</t>
  </si>
  <si>
    <t>TOTAAL ALGEMENE KOSTEN</t>
  </si>
  <si>
    <t>TOTAL FRAIS GENERAUX</t>
  </si>
  <si>
    <t>TOTAAL UITGAVEN</t>
  </si>
  <si>
    <t>TOTAL DEPENSES</t>
  </si>
  <si>
    <t>INKOMSTEN</t>
  </si>
  <si>
    <t>RECETTES</t>
  </si>
  <si>
    <t>Particuliere fondsenwerving</t>
  </si>
  <si>
    <t>Giften die niet kunnen worden toegewezen aan één van de onderstaande campagnes</t>
  </si>
  <si>
    <t>(732010)Giften algemeen</t>
  </si>
  <si>
    <t>Dons(général)</t>
  </si>
  <si>
    <t>Dons qui n'ont pas pu être ventilés dans les campagnes ci-dessous</t>
  </si>
  <si>
    <t>Onderzoeks giften</t>
  </si>
  <si>
    <t>Dons pour la recherche</t>
  </si>
  <si>
    <t>(732017)Giften SDD Muco Vereniging</t>
  </si>
  <si>
    <t>Dons SDD Association Muco</t>
  </si>
  <si>
    <t xml:space="preserve">(732003)mailing fiscale attesten </t>
  </si>
  <si>
    <t>Mailing attestations fiscales</t>
  </si>
  <si>
    <t>Dons suite à l'envoi des attestations fiscales</t>
  </si>
  <si>
    <t>Reactivatie mailing 1</t>
  </si>
  <si>
    <t>Mailing de fin d'année pour les personnes qui n'ont pas fait de dons depuis un an</t>
  </si>
  <si>
    <t>Reactivatie mailing 2</t>
  </si>
  <si>
    <t>Mailing de fin d'année pour les personnes qui n'ont pas fait de dons depuis deux ans</t>
  </si>
  <si>
    <t>Giften naar aanleiding van het Contactblad</t>
  </si>
  <si>
    <t>Mucomagazine&amp;Contact</t>
  </si>
  <si>
    <t>Dns suite au bulletin Muco</t>
  </si>
  <si>
    <t>(732008)Muco Magazine(Asem)</t>
  </si>
  <si>
    <t>Contactblad 1</t>
  </si>
  <si>
    <t>Bulletin Muco 1</t>
  </si>
  <si>
    <t>Contactblad 2</t>
  </si>
  <si>
    <t>Bulletin Muco 2</t>
  </si>
  <si>
    <t>Bulletin Muco 3</t>
  </si>
  <si>
    <t>Bulletin Muco 4</t>
  </si>
  <si>
    <t>(732009)Muco contact</t>
  </si>
  <si>
    <t>Giften via het direct mail en telemarketingprogramma met Direct Social Communications</t>
  </si>
  <si>
    <t>Giften externe mailings</t>
  </si>
  <si>
    <t>Dons Mailings externes</t>
  </si>
  <si>
    <t>Dons  via les mailings directs de DSC</t>
  </si>
  <si>
    <t>Giften gekoppeld aan acties</t>
  </si>
  <si>
    <t xml:space="preserve">Individuele Giften  via acties </t>
  </si>
  <si>
    <t>Dons individuel via les actions</t>
  </si>
  <si>
    <t xml:space="preserve">Dons liés aux actions </t>
  </si>
  <si>
    <t>Giften gekoppeld aan evenementen</t>
  </si>
  <si>
    <t>Individuele Giften  via evenementen</t>
  </si>
  <si>
    <t>Dons individuel via les événements</t>
  </si>
  <si>
    <t>Dons liés aux événnements</t>
  </si>
  <si>
    <t>Ontvangen legaten</t>
  </si>
  <si>
    <t>(734000)Legaten</t>
  </si>
  <si>
    <t>Sponsoring ontvangen van bedrijven</t>
  </si>
  <si>
    <t>((732113)Corporate Sponsorships</t>
  </si>
  <si>
    <t>Dons de sponsoring des entreprises</t>
  </si>
  <si>
    <t>Steun ontvangen van service clubs</t>
  </si>
  <si>
    <t>(732524)Service clubs</t>
  </si>
  <si>
    <t>Service clubs</t>
  </si>
  <si>
    <t>Soutien des services clubs</t>
  </si>
  <si>
    <t>Toelagen ontvangen van fondsen</t>
  </si>
  <si>
    <t>(732231)Fondsen</t>
  </si>
  <si>
    <t>Fonds</t>
  </si>
  <si>
    <t>Dons via des Fonds Fondations</t>
  </si>
  <si>
    <t>TOTAAL GIFTEN</t>
  </si>
  <si>
    <t>TOTAL DONS</t>
  </si>
  <si>
    <t>Inkomsten uit verschillende verkoopsacties</t>
  </si>
  <si>
    <t>Recettes pour diverses actions de vente</t>
  </si>
  <si>
    <t xml:space="preserve">(701021)verkoop wenskaarten </t>
  </si>
  <si>
    <t>Vente de cartes de vœux</t>
  </si>
  <si>
    <t>Produit de la vente de cartes de vœux</t>
  </si>
  <si>
    <t>(701121) Verkoop pralines</t>
  </si>
  <si>
    <t>Vente de pralines</t>
  </si>
  <si>
    <t>Produit de la vente de cartes de pralines</t>
  </si>
  <si>
    <t>(701221)  Tabletten</t>
  </si>
  <si>
    <t>Vente de chocolat</t>
  </si>
  <si>
    <t>Produit de la vente de cartes de tablettes de chocolats</t>
  </si>
  <si>
    <t>Verzendingskosten gedragen door de kopers van wenskaarten</t>
  </si>
  <si>
    <t>(701521) Verzendingskosten wenskaarten</t>
  </si>
  <si>
    <t>Remboursement de Frais d'envoi de cartes de vœux</t>
  </si>
  <si>
    <t>Frais d'envoi supportés par les acheteurs</t>
  </si>
  <si>
    <t>(701621) Verkoop aapjes</t>
  </si>
  <si>
    <t>Vente de peluches de singes</t>
  </si>
  <si>
    <t>Produit de la vente de peluches de singes</t>
  </si>
  <si>
    <t>(701010) Gemengde verkoopproducten</t>
  </si>
  <si>
    <t>Vente de produits indifférenciés</t>
  </si>
  <si>
    <t>Produits indifférenciés de la  vente de divers articles</t>
  </si>
  <si>
    <t xml:space="preserve">(701921) Verkoop fietsbellen </t>
  </si>
  <si>
    <t>Sonnettes</t>
  </si>
  <si>
    <t>(701123) Verkoop sokken</t>
  </si>
  <si>
    <t>Chaussettes</t>
  </si>
  <si>
    <t xml:space="preserve">Verkoop Maskers </t>
  </si>
  <si>
    <t>vente des masques</t>
  </si>
  <si>
    <t>Andere verzendingskosten gedragen door kopers</t>
  </si>
  <si>
    <t xml:space="preserve">(701721) andere verzendingskosten </t>
  </si>
  <si>
    <t xml:space="preserve">Remboursement d'autes frais d'envoi </t>
  </si>
  <si>
    <t>Autres frais d'envoi supportés par les acheteurs</t>
  </si>
  <si>
    <t>Verkoop andere mucoproducten</t>
  </si>
  <si>
    <t>Verkoop inktpatronen</t>
  </si>
  <si>
    <t>Vente de cartouches d'encre</t>
  </si>
  <si>
    <t>Green van de hoop</t>
  </si>
  <si>
    <t>Mucoweek</t>
  </si>
  <si>
    <t>Semaine de la Muco</t>
  </si>
  <si>
    <t>Varia</t>
  </si>
  <si>
    <t xml:space="preserve">Autres </t>
  </si>
  <si>
    <t xml:space="preserve">Lokale acties </t>
  </si>
  <si>
    <t>Actions régionales</t>
  </si>
  <si>
    <t>(732323)Lokale acties Algemeen</t>
  </si>
  <si>
    <t>Actions régionales/général</t>
  </si>
  <si>
    <t>AMCM</t>
  </si>
  <si>
    <t>Acties Muco Liège</t>
  </si>
  <si>
    <t>Action muco liège</t>
  </si>
  <si>
    <t>Acties Muco Roeselare</t>
  </si>
  <si>
    <t>Action muco Roeselare</t>
  </si>
  <si>
    <t>TOTAAL ACTIES</t>
  </si>
  <si>
    <t>TOTAL ACTIONS</t>
  </si>
  <si>
    <t>Inschrijvings- of sponsorkosten voor onze tweejaarlijkse ontmoetingen in Wetteren (NL) of Louvain La Neuve (FR).</t>
  </si>
  <si>
    <t>(732114)Inschrijvingen ontmoetingsdagen</t>
  </si>
  <si>
    <t>Inscriptions aux journées de rencontre</t>
  </si>
  <si>
    <t>Frais d'inscription ou de sponsor pour les rencontres biannuelles à Wetteren(NL) ou à Louvin La Neuve</t>
  </si>
  <si>
    <t>Giften van gemeentelijke administraties</t>
  </si>
  <si>
    <t>(732131)Subsidies</t>
  </si>
  <si>
    <t>subsides</t>
  </si>
  <si>
    <t>Essentiellement les dons des administrations communales</t>
  </si>
  <si>
    <t>Voor een cheque van €8, betaalt de werknemer €1,09 terug. Het totaalbedrag wordt geregistreerd op deze rekening.</t>
  </si>
  <si>
    <t>(749002)Bijdrage maaltijdcheques</t>
  </si>
  <si>
    <t>Contributions aux chèques repas</t>
  </si>
  <si>
    <t>Pour un chèque d'une valeur de 8 eur, l'employé rembourse 1,09 eur /la totalité est enregistrée sur ce compte</t>
  </si>
  <si>
    <t>Financiële inkomsten</t>
  </si>
  <si>
    <t>Recettes financières</t>
  </si>
  <si>
    <t>Interesten op bankrekeningen, dividenden van beleggingen in acties en betalingen van obligaties</t>
  </si>
  <si>
    <t>(751000) Opbrengsten uit vlottende activa</t>
  </si>
  <si>
    <t>Produits des actifs circulant</t>
  </si>
  <si>
    <t>Intérets sur les comptes bancaires, dividendes des placements en actions  et paiements des coupons des obligations</t>
  </si>
  <si>
    <t>Winst op verkochte activa</t>
  </si>
  <si>
    <t>(752000) Meerwaarden op de realisatie van activa</t>
  </si>
  <si>
    <t>Plus values sur réalisation d'actifs</t>
  </si>
  <si>
    <t>Bénéfice sur les actifs vendus</t>
  </si>
  <si>
    <t xml:space="preserve">(754000) Wisselresultaten </t>
  </si>
  <si>
    <t>Différence de change</t>
  </si>
  <si>
    <t xml:space="preserve">(755000) Omrekening van vreemde munten </t>
  </si>
  <si>
    <t>Ecarts de conversion</t>
  </si>
  <si>
    <t>(756000) Diverse financiële opbrengsten</t>
  </si>
  <si>
    <t>Produits financiers divers</t>
  </si>
  <si>
    <t>Bijdragen voed, med. mat&amp;zorg</t>
  </si>
  <si>
    <t>Remboursement nutrition, mat.méd, soins</t>
  </si>
  <si>
    <t>De hypercalorische voeding wordt besteld en betaald voor de patiënt die hierom vraagt. Vervolgens wordt de voeding gefactureerd.</t>
  </si>
  <si>
    <t>(702061) Bijvoeding</t>
  </si>
  <si>
    <t>Nourriture calorique</t>
  </si>
  <si>
    <t>La nourriture calorique est commandée et payée pour le patient qui le demande , ensuite elle est refacturée</t>
  </si>
  <si>
    <t>Het medisch materiaal wordt in bepaalde gevallen geherfactureerd aan patiënten.</t>
  </si>
  <si>
    <t>(702261) Medisch materiaal</t>
  </si>
  <si>
    <t>Matériel médical</t>
  </si>
  <si>
    <t>le matériel médical est refacturé aux patients dans certains cas</t>
  </si>
  <si>
    <t>(702361)verzendingskosten med.mat.</t>
  </si>
  <si>
    <t>Remboursement frais d'envoi de matériel médical</t>
  </si>
  <si>
    <t>De Mucovereniging betaalt facturen van behandelingen, maar wanneer patiënten terugbetaald worden door het ziekenfonds of een private verzekering, dienen zij dit geld aan ons terug te betalen.</t>
  </si>
  <si>
    <t>(743461) TB zorg kosten</t>
  </si>
  <si>
    <t>Remboursement soins</t>
  </si>
  <si>
    <t>L'association Muco paye les factures de traitements et d'hospitalisation mais quand les patients sont remboursés par leur mutuelle ou assurance, ils ont l'obligation de nous reverser ces montants</t>
  </si>
  <si>
    <t>Op voorschrift van een diëtist(e), bestelt en betaalt de vereniging de sondevoeding van personen met muco. Met het akkoord van de patiënt en het ziekenfonds dient de Vereniging deze facturen in bij het ziekenfonds om een terugbetaling te verkrijgen van het zogenaamde "dagforfait" (dit bedrag varieert in functie van het type voeding en van het gebruikte medische materiaal).</t>
  </si>
  <si>
    <t>(743561) sondevoeding</t>
  </si>
  <si>
    <t>Remboursement Nourriture par sonde</t>
  </si>
  <si>
    <t>sur ordonnance d'un diététiste, l'association commande et paye la nourriture par sonde des patients Muco, avec l'accord du patient et des mutuelles, l'association introduit les factures de nourriture par sonde pour demander le remboursement du forfait journalier  prévu à cet effet (ce montant varie en fonction du type de nourriture&amp;du matériel médical utilisé)</t>
  </si>
  <si>
    <t>Leningen en voorschotten aan onze leden dienen terugbetaald te worden volgens op voorhand vastgelegde akkoorden. Deze terugbetalingen worden hier geregistreerd.</t>
  </si>
  <si>
    <t xml:space="preserve">(743861) TB voorschoten &amp;leningen </t>
  </si>
  <si>
    <t>Remboursement avances &amp; prêts</t>
  </si>
  <si>
    <t>les avances et les prêts consentis aux membres de l'association doivent être remboursés selon un accord . Les remboursements sont enregistrés ici</t>
  </si>
  <si>
    <t>(743661) TB andere</t>
  </si>
  <si>
    <t>Autres remboursements</t>
  </si>
  <si>
    <t>Bijdragen tewerkstellingsmaatr.</t>
  </si>
  <si>
    <t>Projets d'emploi</t>
  </si>
  <si>
    <t>Door werknemers met een bepaald profiel te rekruteren, kunnen de diensten voor arbeidsbemiddeling tussenkomen in het salaris (bv. mensen die van het activa plan genieten)</t>
  </si>
  <si>
    <t xml:space="preserve">(749003) Tussenkomst nettolonen </t>
  </si>
  <si>
    <t>Intervention sur le salaire net</t>
  </si>
  <si>
    <t>En recrutant des employés avec un certain profil, les services de mise à l'emploi peuvent intervenir dans le salaire du salarié(comme ceux qui bénéficient du plan activa par exemple!)</t>
  </si>
  <si>
    <t>Om de lasten van  de werkgever te verlagen, geeft de staat een deel van de bedrijfsvoorheffing terug. Deze wordt niet terug opgeëist.</t>
  </si>
  <si>
    <t>(749023) Niet gestort BV overuren</t>
  </si>
  <si>
    <t>Précompte professionnel heures supplémentaires non versé</t>
  </si>
  <si>
    <t>Pour diminuer les charges des employeurs, l'Etat rétrocède une partie du précompte professionnel et n'en réclame pas le paiement</t>
  </si>
  <si>
    <t>(749024) Niet gestort BV</t>
  </si>
  <si>
    <t>Précompte professionnel non versé</t>
  </si>
  <si>
    <t>Tussenkomst van staatsinstanties om werknemers met bepaalde profielen te financieren (momenteel hebben we er 3)</t>
  </si>
  <si>
    <t>(736062) Tussenkomst Actiris, Geco,  VDAB…</t>
  </si>
  <si>
    <t>Intervention Actiris, GECO, VDAB…</t>
  </si>
  <si>
    <t>Intervention des organismes étatiques pour financer les employés de certains profils(nous en avons acturellement 3</t>
  </si>
  <si>
    <t>Het wetenschappelijk onderzoek wordt sinds enkele jaren gefinancierd vanuit de provisie of de reserve.</t>
  </si>
  <si>
    <t>Uitreserve(voor ondezoeken projecten )</t>
  </si>
  <si>
    <t>Prélèvement de la réserve/Pour les projets de recherche…</t>
  </si>
  <si>
    <t xml:space="preserve">La recherche scientifque est depuis quelques années financée par un prélèvement sur la provision ou sur la réserve </t>
  </si>
  <si>
    <t>Soms ontvangen we inkomsten die geboekt werden in een afgesloten boekjaar pas tijdens het lopende boekjaar en worden deze geregistreerd als "uitzonderlijk".</t>
  </si>
  <si>
    <t>Uitzonderlijke opbrengst</t>
  </si>
  <si>
    <t>Produits exceptionnels</t>
  </si>
  <si>
    <t>Parfois des recettes on comptabilisées l'année comptable clôturées nous arrive dans l'année en courd et sont enregistrées comme exceptionnelles</t>
  </si>
  <si>
    <t>TOTAAL ANDER</t>
  </si>
  <si>
    <t>TOTAL AUTRES</t>
  </si>
  <si>
    <t>TOTAAL INKOMSTEN</t>
  </si>
  <si>
    <t>TOTAL RECETTES</t>
  </si>
  <si>
    <t>Resultaat</t>
  </si>
  <si>
    <t>Résultat</t>
  </si>
  <si>
    <t>Soutien aux familles/Steun aan families</t>
  </si>
  <si>
    <t>Sensibilisation/Sensibilisatie</t>
  </si>
  <si>
    <t>Recherche scientifique/Wetenschapelijke onderzoek</t>
  </si>
  <si>
    <t>Frais généraux/Algemene kosten</t>
  </si>
  <si>
    <t>Soutien fin.steun</t>
  </si>
  <si>
    <t>Défense des intérets/interesten verdediging</t>
  </si>
  <si>
    <t>Achat nourriture et matériel médical/Aankoop voeding&amp; med.materialen</t>
  </si>
  <si>
    <t>Soins&amp;accompagnements/zorg&amp;begeiding</t>
  </si>
  <si>
    <t>Personnel</t>
  </si>
  <si>
    <t>Autres/andere</t>
  </si>
  <si>
    <t>Dons/Giften</t>
  </si>
  <si>
    <t>Actions/Acties</t>
  </si>
  <si>
    <t>Comptes /Rekeningen  12.2021</t>
  </si>
  <si>
    <t>Budget 2022 (Février 2022)</t>
  </si>
  <si>
    <t>(619028) Recruteringsmailing</t>
  </si>
  <si>
    <t>Recruteringsmailing</t>
  </si>
  <si>
    <t>(619527) Politieke campagne</t>
  </si>
  <si>
    <t>Autres articles muco</t>
  </si>
  <si>
    <t>Comptes 2021/Répartition des dépenses/Kosten verdeling</t>
  </si>
  <si>
    <t>Comptes 2021/Répartitiondu soutien aux familles/Steun aan families  verdeling</t>
  </si>
  <si>
    <t>Comptes 2021/Répartition des recettes /inkomsten verdeling</t>
  </si>
  <si>
    <t>Mailings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</si>
</sst>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31" x14ac:knownFonts="1">
    <font>
      <sz val="10"/>
      <name val="Arial"/>
    </font>
    <font>
      <sz val="10"/>
      <name val="Arial"/>
      <family val="2"/>
    </font>
    <font>
      <b/>
      <sz val="10"/>
      <name val="Arial"/>
      <family val="2"/>
    </font>
    <font>
      <i/>
      <sz val="10"/>
      <name val="Arial"/>
      <family val="2"/>
    </font>
    <font>
      <b/>
      <i/>
      <sz val="11"/>
      <name val="Arial"/>
      <family val="2"/>
    </font>
    <font>
      <i/>
      <sz val="11"/>
      <name val="Arial"/>
      <family val="2"/>
    </font>
    <font>
      <sz val="10"/>
      <name val="Calibri"/>
      <family val="2"/>
      <scheme val="minor"/>
    </font>
    <font>
      <sz val="10"/>
      <color rgb="FFFF0000"/>
      <name val="Arial"/>
      <family val="2"/>
    </font>
    <font>
      <b/>
      <sz val="14"/>
      <name val="Calibri"/>
      <family val="2"/>
      <scheme val="minor"/>
    </font>
    <font>
      <sz val="10"/>
      <color rgb="FF00B050"/>
      <name val="Arial"/>
      <family val="2"/>
    </font>
    <font>
      <sz val="10"/>
      <color rgb="FF0070C0"/>
      <name val="Arial"/>
      <family val="2"/>
    </font>
    <font>
      <b/>
      <i/>
      <sz val="14"/>
      <name val="Arial"/>
      <family val="2"/>
    </font>
    <font>
      <b/>
      <sz val="14"/>
      <name val="Arial"/>
      <family val="2"/>
    </font>
    <font>
      <b/>
      <sz val="12"/>
      <name val="Arial"/>
      <family val="2"/>
    </font>
    <font>
      <b/>
      <i/>
      <sz val="12"/>
      <name val="Arial"/>
      <family val="2"/>
    </font>
    <font>
      <b/>
      <sz val="10"/>
      <color rgb="FFFF0000"/>
      <name val="Arial"/>
      <family val="2"/>
    </font>
    <font>
      <sz val="10"/>
      <name val="Arial"/>
    </font>
    <font>
      <i/>
      <sz val="10"/>
      <color rgb="FFFF0000"/>
      <name val="Arial"/>
      <family val="2"/>
    </font>
    <font>
      <b/>
      <sz val="14"/>
      <color rgb="FF0070C0"/>
      <name val="Calibri"/>
      <family val="2"/>
      <scheme val="minor"/>
    </font>
    <font>
      <b/>
      <sz val="12"/>
      <color rgb="FF0070C0"/>
      <name val="Arial"/>
      <family val="2"/>
    </font>
    <font>
      <sz val="10"/>
      <color theme="3" tint="0.39997558519241921"/>
      <name val="Arial"/>
      <family val="2"/>
    </font>
    <font>
      <sz val="10"/>
      <color rgb="FFFF0000"/>
      <name val="Calibri"/>
      <family val="2"/>
      <scheme val="minor"/>
    </font>
    <font>
      <sz val="10"/>
      <color theme="4"/>
      <name val="Arial"/>
      <family val="2"/>
    </font>
    <font>
      <b/>
      <sz val="10"/>
      <color theme="4"/>
      <name val="Arial"/>
      <family val="2"/>
    </font>
    <font>
      <b/>
      <sz val="14"/>
      <color rgb="FF0070C0"/>
      <name val="Arial"/>
      <family val="2"/>
    </font>
    <font>
      <b/>
      <sz val="9"/>
      <color indexed="81"/>
      <name val="Tahoma"/>
      <family val="2"/>
    </font>
    <font>
      <sz val="9"/>
      <color indexed="81"/>
      <name val="Tahoma"/>
      <family val="2"/>
    </font>
    <font>
      <b/>
      <u/>
      <sz val="10"/>
      <name val="Arial"/>
      <family val="2"/>
    </font>
    <font>
      <sz val="9"/>
      <color indexed="81"/>
      <name val="Tahoma"/>
      <charset val="1"/>
    </font>
    <font>
      <b/>
      <sz val="9"/>
      <color indexed="81"/>
      <name val="Tahoma"/>
      <charset val="1"/>
    </font>
    <font>
      <sz val="8"/>
      <name val="Arial"/>
    </font>
  </fonts>
  <fills count="7">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bgColor indexed="64"/>
      </patternFill>
    </fill>
    <fill>
      <patternFill patternType="solid">
        <fgColor theme="6" tint="0.59999389629810485"/>
        <bgColor indexed="64"/>
      </patternFill>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1" fillId="0" borderId="0"/>
    <xf numFmtId="9" fontId="16" fillId="0" borderId="0" applyFont="0" applyFill="0" applyBorder="0" applyAlignment="0" applyProtection="0"/>
  </cellStyleXfs>
  <cellXfs count="105">
    <xf numFmtId="0" fontId="0" fillId="0" borderId="0" xfId="0"/>
    <xf numFmtId="0" fontId="2" fillId="0" borderId="0" xfId="0" applyFont="1"/>
    <xf numFmtId="0" fontId="6" fillId="0" borderId="0" xfId="0" applyFont="1"/>
    <xf numFmtId="0" fontId="5" fillId="0" borderId="0" xfId="0" applyFont="1"/>
    <xf numFmtId="0" fontId="4" fillId="0" borderId="0" xfId="0" applyFont="1"/>
    <xf numFmtId="0" fontId="3" fillId="0" borderId="0" xfId="0" applyFont="1"/>
    <xf numFmtId="0" fontId="7" fillId="0" borderId="0" xfId="0" applyFont="1"/>
    <xf numFmtId="0" fontId="9" fillId="0" borderId="0" xfId="0" applyFont="1"/>
    <xf numFmtId="0" fontId="15" fillId="0" borderId="0" xfId="0" applyFont="1"/>
    <xf numFmtId="0" fontId="8" fillId="5" borderId="1" xfId="0" applyFont="1" applyFill="1" applyBorder="1" applyAlignment="1">
      <alignment horizontal="center"/>
    </xf>
    <xf numFmtId="0" fontId="8" fillId="5" borderId="2" xfId="0" applyFont="1" applyFill="1" applyBorder="1" applyAlignment="1">
      <alignment horizontal="center"/>
    </xf>
    <xf numFmtId="0" fontId="8" fillId="5" borderId="3" xfId="0" applyFont="1" applyFill="1" applyBorder="1" applyAlignment="1">
      <alignment horizontal="center"/>
    </xf>
    <xf numFmtId="0" fontId="2" fillId="0" borderId="4" xfId="0" applyFont="1" applyBorder="1"/>
    <xf numFmtId="0" fontId="2" fillId="0" borderId="5" xfId="0" applyFont="1" applyBorder="1" applyAlignment="1">
      <alignment horizontal="right"/>
    </xf>
    <xf numFmtId="0" fontId="0" fillId="0" borderId="6" xfId="0" applyBorder="1" applyAlignment="1">
      <alignment wrapText="1"/>
    </xf>
    <xf numFmtId="3" fontId="0" fillId="0" borderId="5" xfId="0" applyNumberFormat="1" applyBorder="1" applyAlignment="1">
      <alignment horizontal="right"/>
    </xf>
    <xf numFmtId="0" fontId="3" fillId="0" borderId="4" xfId="0" applyFont="1" applyBorder="1"/>
    <xf numFmtId="3" fontId="1" fillId="0" borderId="5" xfId="0" applyNumberFormat="1" applyFont="1" applyBorder="1" applyAlignment="1">
      <alignment horizontal="right"/>
    </xf>
    <xf numFmtId="0" fontId="1" fillId="0" borderId="4" xfId="0" applyFont="1" applyBorder="1"/>
    <xf numFmtId="3" fontId="1" fillId="0" borderId="5" xfId="0" applyNumberFormat="1" applyFont="1" applyBorder="1"/>
    <xf numFmtId="0" fontId="1" fillId="0" borderId="6" xfId="0" applyFont="1" applyBorder="1" applyAlignment="1">
      <alignment wrapText="1"/>
    </xf>
    <xf numFmtId="3" fontId="2" fillId="0" borderId="5" xfId="0" applyNumberFormat="1" applyFont="1" applyBorder="1" applyAlignment="1">
      <alignment horizontal="right"/>
    </xf>
    <xf numFmtId="0" fontId="1" fillId="0" borderId="4" xfId="0" quotePrefix="1" applyFont="1" applyBorder="1" applyAlignment="1">
      <alignment horizontal="left"/>
    </xf>
    <xf numFmtId="0" fontId="13" fillId="2" borderId="1" xfId="0" applyFont="1" applyFill="1" applyBorder="1" applyAlignment="1">
      <alignment horizontal="center"/>
    </xf>
    <xf numFmtId="3" fontId="13" fillId="2" borderId="2" xfId="0" applyNumberFormat="1" applyFont="1" applyFill="1" applyBorder="1" applyAlignment="1">
      <alignment horizontal="center"/>
    </xf>
    <xf numFmtId="0" fontId="2" fillId="0" borderId="4" xfId="0" quotePrefix="1" applyFont="1" applyBorder="1" applyAlignment="1">
      <alignment horizontal="left"/>
    </xf>
    <xf numFmtId="0" fontId="1" fillId="0" borderId="6" xfId="0" applyFont="1" applyBorder="1" applyAlignment="1">
      <alignment horizontal="left" wrapText="1"/>
    </xf>
    <xf numFmtId="0" fontId="2" fillId="0" borderId="7" xfId="0" applyFont="1" applyBorder="1"/>
    <xf numFmtId="0" fontId="7" fillId="0" borderId="6" xfId="0" applyFont="1" applyBorder="1" applyAlignment="1">
      <alignment wrapText="1"/>
    </xf>
    <xf numFmtId="0" fontId="2" fillId="0" borderId="6" xfId="0" applyFont="1" applyBorder="1" applyAlignment="1">
      <alignment wrapText="1"/>
    </xf>
    <xf numFmtId="0" fontId="2" fillId="0" borderId="4" xfId="0" applyFont="1" applyBorder="1" applyAlignment="1">
      <alignment horizontal="left"/>
    </xf>
    <xf numFmtId="0" fontId="1" fillId="0" borderId="4" xfId="0" applyFont="1" applyBorder="1" applyAlignment="1">
      <alignment horizontal="left"/>
    </xf>
    <xf numFmtId="0" fontId="1" fillId="0" borderId="4" xfId="0" applyFont="1" applyBorder="1" applyAlignment="1">
      <alignment horizontal="left" wrapText="1"/>
    </xf>
    <xf numFmtId="0" fontId="1" fillId="0" borderId="5" xfId="0" applyFont="1" applyBorder="1" applyAlignment="1">
      <alignment horizontal="right"/>
    </xf>
    <xf numFmtId="0" fontId="14" fillId="4" borderId="4" xfId="0" applyFont="1" applyFill="1" applyBorder="1" applyAlignment="1">
      <alignment horizontal="center"/>
    </xf>
    <xf numFmtId="0" fontId="14" fillId="4" borderId="5" xfId="0" applyFont="1" applyFill="1" applyBorder="1" applyAlignment="1">
      <alignment horizontal="center"/>
    </xf>
    <xf numFmtId="0" fontId="8" fillId="5" borderId="2" xfId="0" applyFont="1" applyFill="1" applyBorder="1" applyAlignment="1">
      <alignment horizontal="center" wrapText="1"/>
    </xf>
    <xf numFmtId="0" fontId="14" fillId="4" borderId="2" xfId="0" applyFont="1" applyFill="1" applyBorder="1" applyAlignment="1">
      <alignment horizontal="center"/>
    </xf>
    <xf numFmtId="0" fontId="11" fillId="3" borderId="1" xfId="0" applyFont="1" applyFill="1" applyBorder="1" applyAlignment="1">
      <alignment horizontal="center"/>
    </xf>
    <xf numFmtId="0" fontId="11" fillId="3" borderId="2" xfId="0" applyFont="1" applyFill="1" applyBorder="1" applyAlignment="1">
      <alignment horizontal="center"/>
    </xf>
    <xf numFmtId="0" fontId="3" fillId="0" borderId="6" xfId="0" applyFont="1" applyBorder="1" applyAlignment="1">
      <alignment wrapText="1"/>
    </xf>
    <xf numFmtId="9" fontId="13" fillId="2" borderId="2" xfId="2" applyFont="1" applyFill="1" applyBorder="1"/>
    <xf numFmtId="0" fontId="6" fillId="0" borderId="11" xfId="0" applyFont="1" applyBorder="1" applyAlignment="1">
      <alignment wrapText="1"/>
    </xf>
    <xf numFmtId="3" fontId="13" fillId="2" borderId="3" xfId="0" applyNumberFormat="1" applyFont="1" applyFill="1" applyBorder="1" applyAlignment="1">
      <alignment horizontal="center"/>
    </xf>
    <xf numFmtId="0" fontId="1" fillId="0" borderId="0" xfId="0" applyFont="1"/>
    <xf numFmtId="9" fontId="13" fillId="4" borderId="5" xfId="2" applyFont="1" applyFill="1" applyBorder="1"/>
    <xf numFmtId="0" fontId="18" fillId="5" borderId="2" xfId="0" applyFont="1" applyFill="1" applyBorder="1" applyAlignment="1">
      <alignment horizontal="center"/>
    </xf>
    <xf numFmtId="3" fontId="10" fillId="6" borderId="5" xfId="0" applyNumberFormat="1" applyFont="1" applyFill="1" applyBorder="1"/>
    <xf numFmtId="3" fontId="7" fillId="6" borderId="5" xfId="0" applyNumberFormat="1" applyFont="1" applyFill="1" applyBorder="1"/>
    <xf numFmtId="3" fontId="19" fillId="2" borderId="2" xfId="0" applyNumberFormat="1" applyFont="1" applyFill="1" applyBorder="1"/>
    <xf numFmtId="3" fontId="19" fillId="4" borderId="8" xfId="0" applyNumberFormat="1" applyFont="1" applyFill="1" applyBorder="1"/>
    <xf numFmtId="0" fontId="14" fillId="4" borderId="12" xfId="0" applyFont="1" applyFill="1" applyBorder="1" applyAlignment="1">
      <alignment horizontal="center"/>
    </xf>
    <xf numFmtId="0" fontId="14" fillId="4" borderId="13" xfId="0" applyFont="1" applyFill="1" applyBorder="1" applyAlignment="1">
      <alignment horizontal="center"/>
    </xf>
    <xf numFmtId="3" fontId="19" fillId="4" borderId="12" xfId="0" applyNumberFormat="1" applyFont="1" applyFill="1" applyBorder="1"/>
    <xf numFmtId="164" fontId="12" fillId="0" borderId="0" xfId="0" applyNumberFormat="1" applyFont="1"/>
    <xf numFmtId="164" fontId="12" fillId="3" borderId="2" xfId="0" applyNumberFormat="1" applyFont="1" applyFill="1" applyBorder="1"/>
    <xf numFmtId="4" fontId="13" fillId="4" borderId="14" xfId="0" applyNumberFormat="1" applyFont="1" applyFill="1" applyBorder="1"/>
    <xf numFmtId="0" fontId="1" fillId="0" borderId="4" xfId="0" applyFont="1" applyBorder="1" applyAlignment="1">
      <alignment horizontal="left" indent="2"/>
    </xf>
    <xf numFmtId="0" fontId="1" fillId="0" borderId="4" xfId="0" applyFont="1" applyBorder="1" applyAlignment="1">
      <alignment horizontal="left" indent="1"/>
    </xf>
    <xf numFmtId="0" fontId="1" fillId="0" borderId="4" xfId="0" quotePrefix="1" applyFont="1" applyBorder="1"/>
    <xf numFmtId="0" fontId="1" fillId="0" borderId="9" xfId="0" applyFont="1" applyBorder="1" applyAlignment="1">
      <alignment horizontal="left"/>
    </xf>
    <xf numFmtId="3" fontId="20" fillId="6" borderId="5" xfId="0" applyNumberFormat="1" applyFont="1" applyFill="1" applyBorder="1"/>
    <xf numFmtId="0" fontId="17" fillId="0" borderId="6" xfId="0" applyFont="1" applyBorder="1" applyAlignment="1">
      <alignment wrapText="1"/>
    </xf>
    <xf numFmtId="0" fontId="21" fillId="0" borderId="11" xfId="0" applyFont="1" applyBorder="1" applyAlignment="1">
      <alignment wrapText="1"/>
    </xf>
    <xf numFmtId="3" fontId="22" fillId="6" borderId="5" xfId="0" applyNumberFormat="1" applyFont="1" applyFill="1" applyBorder="1"/>
    <xf numFmtId="0" fontId="23" fillId="0" borderId="4" xfId="0" applyFont="1" applyBorder="1" applyAlignment="1">
      <alignment horizontal="left"/>
    </xf>
    <xf numFmtId="3" fontId="1" fillId="0" borderId="6" xfId="0" applyNumberFormat="1" applyFont="1" applyBorder="1" applyAlignment="1">
      <alignment wrapText="1"/>
    </xf>
    <xf numFmtId="3" fontId="1" fillId="0" borderId="15" xfId="0" applyNumberFormat="1" applyFont="1" applyBorder="1"/>
    <xf numFmtId="9" fontId="1" fillId="0" borderId="15" xfId="2" applyFont="1" applyFill="1" applyBorder="1"/>
    <xf numFmtId="3" fontId="24" fillId="3" borderId="2" xfId="0" applyNumberFormat="1" applyFont="1" applyFill="1" applyBorder="1"/>
    <xf numFmtId="3" fontId="0" fillId="0" borderId="0" xfId="0" applyNumberFormat="1"/>
    <xf numFmtId="9" fontId="13" fillId="2" borderId="10" xfId="2" applyFont="1" applyFill="1" applyBorder="1"/>
    <xf numFmtId="9" fontId="19" fillId="4" borderId="8" xfId="2" applyFont="1" applyFill="1" applyBorder="1"/>
    <xf numFmtId="3" fontId="27" fillId="0" borderId="5" xfId="0" applyNumberFormat="1" applyFont="1" applyBorder="1" applyAlignment="1">
      <alignment horizontal="right"/>
    </xf>
    <xf numFmtId="0" fontId="12" fillId="0" borderId="0" xfId="0" applyFont="1"/>
    <xf numFmtId="0" fontId="1" fillId="0" borderId="16" xfId="0" applyFont="1" applyBorder="1"/>
    <xf numFmtId="3" fontId="0" fillId="0" borderId="16" xfId="0" applyNumberFormat="1" applyBorder="1"/>
    <xf numFmtId="3" fontId="1" fillId="0" borderId="0" xfId="0" applyNumberFormat="1" applyFont="1"/>
    <xf numFmtId="9" fontId="1" fillId="2" borderId="17" xfId="2" applyFont="1" applyFill="1" applyBorder="1"/>
    <xf numFmtId="3" fontId="20" fillId="6" borderId="0" xfId="0" applyNumberFormat="1" applyFont="1" applyFill="1"/>
    <xf numFmtId="3" fontId="1" fillId="0" borderId="5" xfId="0" applyNumberFormat="1" applyFont="1" applyBorder="1" applyAlignment="1">
      <alignment horizontal="left"/>
    </xf>
    <xf numFmtId="3" fontId="2" fillId="0" borderId="5" xfId="0" applyNumberFormat="1" applyFont="1" applyBorder="1" applyAlignment="1">
      <alignment horizontal="left"/>
    </xf>
    <xf numFmtId="0" fontId="18" fillId="5" borderId="2" xfId="0" applyFont="1" applyFill="1" applyBorder="1" applyAlignment="1">
      <alignment horizontal="center" wrapText="1"/>
    </xf>
    <xf numFmtId="165" fontId="0" fillId="0" borderId="5" xfId="0" applyNumberFormat="1" applyBorder="1"/>
    <xf numFmtId="165" fontId="1" fillId="0" borderId="15" xfId="0" applyNumberFormat="1" applyFont="1" applyBorder="1"/>
    <xf numFmtId="165" fontId="10" fillId="6" borderId="5" xfId="0" applyNumberFormat="1" applyFont="1" applyFill="1" applyBorder="1"/>
    <xf numFmtId="165" fontId="1" fillId="0" borderId="5" xfId="0" applyNumberFormat="1" applyFont="1" applyBorder="1"/>
    <xf numFmtId="165" fontId="7" fillId="6" borderId="5" xfId="0" applyNumberFormat="1" applyFont="1" applyFill="1" applyBorder="1"/>
    <xf numFmtId="165" fontId="2" fillId="0" borderId="5" xfId="0" applyNumberFormat="1" applyFont="1" applyBorder="1"/>
    <xf numFmtId="165" fontId="7" fillId="0" borderId="5" xfId="0" applyNumberFormat="1" applyFont="1" applyBorder="1"/>
    <xf numFmtId="165" fontId="20" fillId="6" borderId="5" xfId="0" applyNumberFormat="1" applyFont="1" applyFill="1" applyBorder="1"/>
    <xf numFmtId="165" fontId="13" fillId="2" borderId="2" xfId="0" applyNumberFormat="1" applyFont="1" applyFill="1" applyBorder="1"/>
    <xf numFmtId="165" fontId="13" fillId="2" borderId="10" xfId="0" applyNumberFormat="1" applyFont="1" applyFill="1" applyBorder="1"/>
    <xf numFmtId="165" fontId="7" fillId="0" borderId="15" xfId="0" applyNumberFormat="1" applyFont="1" applyBorder="1"/>
    <xf numFmtId="165" fontId="1" fillId="0" borderId="5" xfId="0" applyNumberFormat="1" applyFont="1" applyBorder="1" applyAlignment="1">
      <alignment horizontal="right"/>
    </xf>
    <xf numFmtId="165" fontId="1" fillId="0" borderId="15" xfId="0" applyNumberFormat="1" applyFont="1" applyFill="1" applyBorder="1"/>
    <xf numFmtId="165" fontId="1" fillId="0" borderId="4" xfId="0" applyNumberFormat="1" applyFont="1" applyBorder="1" applyAlignment="1">
      <alignment horizontal="left"/>
    </xf>
    <xf numFmtId="165" fontId="13" fillId="4" borderId="8" xfId="0" applyNumberFormat="1" applyFont="1" applyFill="1" applyBorder="1"/>
    <xf numFmtId="165" fontId="13" fillId="4" borderId="2" xfId="0" applyNumberFormat="1" applyFont="1" applyFill="1" applyBorder="1"/>
    <xf numFmtId="165" fontId="13" fillId="4" borderId="12" xfId="0" applyNumberFormat="1" applyFont="1" applyFill="1" applyBorder="1"/>
    <xf numFmtId="165" fontId="13" fillId="4" borderId="5" xfId="0" applyNumberFormat="1" applyFont="1" applyFill="1" applyBorder="1"/>
    <xf numFmtId="165" fontId="12" fillId="3" borderId="2" xfId="0" applyNumberFormat="1" applyFont="1" applyFill="1" applyBorder="1"/>
    <xf numFmtId="165" fontId="0" fillId="0" borderId="0" xfId="0" applyNumberFormat="1"/>
    <xf numFmtId="0" fontId="1" fillId="0" borderId="4" xfId="0" applyFont="1" applyFill="1" applyBorder="1"/>
    <xf numFmtId="165" fontId="1" fillId="0" borderId="5" xfId="0" applyNumberFormat="1" applyFont="1" applyFill="1" applyBorder="1"/>
  </cellXfs>
  <cellStyles count="3">
    <cellStyle name="Normal" xfId="0" builtinId="0"/>
    <cellStyle name="Normal 2" xfId="1" xr:uid="{00000000-0005-0000-0000-000000000000}"/>
    <cellStyle name="Percent" xfId="2" builtinId="5"/>
  </cellStyles>
  <dxfs count="0"/>
  <tableStyles count="0" defaultTableStyle="TableStyleMedium9" defaultPivotStyle="PivotStyleLight16"/>
  <colors>
    <mruColors>
      <color rgb="FF9F7E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Comptes 2021</a:t>
            </a:r>
          </a:p>
          <a:p>
            <a:pPr>
              <a:defRPr/>
            </a:pPr>
            <a:r>
              <a:rPr lang="en-US"/>
              <a:t>Répartition des dépenses/Kosten</a:t>
            </a:r>
            <a:r>
              <a:rPr lang="en-US" baseline="0"/>
              <a:t> verdeling</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910-4436-A385-CE1478A9B2E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910-4436-A385-CE1478A9B2E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910-4436-A385-CE1478A9B2E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910-4436-A385-CE1478A9B2E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'Comptes  2021Graphiques '!$A$2:$D$2</c:f>
              <c:strCache>
                <c:ptCount val="4"/>
                <c:pt idx="0">
                  <c:v>Soutien aux familles/Steun aan families</c:v>
                </c:pt>
                <c:pt idx="1">
                  <c:v>Sensibilisation/Sensibilisatie</c:v>
                </c:pt>
                <c:pt idx="2">
                  <c:v>Recherche scientifique/Wetenschapelijke onderzoek</c:v>
                </c:pt>
                <c:pt idx="3">
                  <c:v>Frais généraux/Algemene kosten</c:v>
                </c:pt>
              </c:strCache>
            </c:strRef>
          </c:cat>
          <c:val>
            <c:numRef>
              <c:f>'Comptes  2021Graphiques '!$A$3:$D$3</c:f>
              <c:numCache>
                <c:formatCode>#,##0</c:formatCode>
                <c:ptCount val="4"/>
                <c:pt idx="0">
                  <c:v>1392357.81</c:v>
                </c:pt>
                <c:pt idx="1">
                  <c:v>1905797.2</c:v>
                </c:pt>
                <c:pt idx="2">
                  <c:v>371205.96000000008</c:v>
                </c:pt>
                <c:pt idx="3">
                  <c:v>677401.1399999999</c:v>
                </c:pt>
              </c:numCache>
            </c:numRef>
          </c:val>
          <c:extLst>
            <c:ext xmlns:c16="http://schemas.microsoft.com/office/drawing/2014/chart" uri="{C3380CC4-5D6E-409C-BE32-E72D297353CC}">
              <c16:uniqueId val="{00000008-6910-4436-A385-CE1478A9B2E3}"/>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Comptes</a:t>
            </a:r>
            <a:r>
              <a:rPr lang="en-US" baseline="0"/>
              <a:t> 2021</a:t>
            </a:r>
            <a:endParaRPr lang="en-US"/>
          </a:p>
          <a:p>
            <a:pPr>
              <a:defRPr/>
            </a:pPr>
            <a:endParaRPr lang="en-US"/>
          </a:p>
          <a:p>
            <a:pPr>
              <a:defRPr/>
            </a:pPr>
            <a:r>
              <a:rPr lang="en-US"/>
              <a:t>Répartition du soutien aux familles/</a:t>
            </a:r>
            <a:r>
              <a:rPr lang="en-US" baseline="0"/>
              <a:t> steun aan families verdeling</a:t>
            </a:r>
            <a:endParaRPr lang="en-US"/>
          </a:p>
        </c:rich>
      </c:tx>
      <c:layout>
        <c:manualLayout>
          <c:xMode val="edge"/>
          <c:yMode val="edge"/>
          <c:x val="0.14204067239686644"/>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879816518540513E-2"/>
          <c:y val="0.25185875488191711"/>
          <c:w val="0.95779063199748171"/>
          <c:h val="0.52665177801679897"/>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A80-48EF-BF74-960D2DD1113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A80-48EF-BF74-960D2DD1113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A80-48EF-BF74-960D2DD1113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A80-48EF-BF74-960D2DD11130}"/>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6A80-48EF-BF74-960D2DD11130}"/>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6A80-48EF-BF74-960D2DD1113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'Comptes  2021Graphiques '!$A$35:$F$35</c:f>
              <c:strCache>
                <c:ptCount val="6"/>
                <c:pt idx="0">
                  <c:v>Soutien fin.steun</c:v>
                </c:pt>
                <c:pt idx="1">
                  <c:v>Défense des intérets/interesten verdediging</c:v>
                </c:pt>
                <c:pt idx="2">
                  <c:v>Achat nourriture et matériel médical/Aankoop voeding&amp; med.materialen</c:v>
                </c:pt>
                <c:pt idx="3">
                  <c:v>Soins&amp;accompagnements/zorg&amp;begeiding</c:v>
                </c:pt>
                <c:pt idx="4">
                  <c:v>Personnel</c:v>
                </c:pt>
                <c:pt idx="5">
                  <c:v>Autres/andere</c:v>
                </c:pt>
              </c:strCache>
            </c:strRef>
          </c:cat>
          <c:val>
            <c:numRef>
              <c:f>'Comptes  2021Graphiques '!$A$36:$F$36</c:f>
              <c:numCache>
                <c:formatCode>#,##0</c:formatCode>
                <c:ptCount val="6"/>
                <c:pt idx="0">
                  <c:v>694704.78</c:v>
                </c:pt>
                <c:pt idx="1">
                  <c:v>116594.28</c:v>
                </c:pt>
                <c:pt idx="2">
                  <c:v>322087.88</c:v>
                </c:pt>
                <c:pt idx="3">
                  <c:v>335.18</c:v>
                </c:pt>
                <c:pt idx="4">
                  <c:v>238720.81</c:v>
                </c:pt>
                <c:pt idx="5">
                  <c:v>19914.880000000005</c:v>
                </c:pt>
              </c:numCache>
            </c:numRef>
          </c:val>
          <c:extLst>
            <c:ext xmlns:c16="http://schemas.microsoft.com/office/drawing/2014/chart" uri="{C3380CC4-5D6E-409C-BE32-E72D297353CC}">
              <c16:uniqueId val="{0000000C-6A80-48EF-BF74-960D2DD1113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Comptes </a:t>
            </a:r>
          </a:p>
          <a:p>
            <a:pPr>
              <a:defRPr/>
            </a:pPr>
            <a:r>
              <a:rPr lang="en-US" baseline="0"/>
              <a:t> 2021</a:t>
            </a:r>
            <a:r>
              <a:rPr lang="en-US"/>
              <a:t>/Répartition</a:t>
            </a:r>
            <a:r>
              <a:rPr lang="en-US" baseline="0"/>
              <a:t> des Recettes/Inkomsten verdeling</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0.16708333333333336"/>
          <c:w val="0.93888888888888888"/>
          <c:h val="0.6714577865266842"/>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19F-4FA5-9780-BD4D67B7D8B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19F-4FA5-9780-BD4D67B7D8B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219F-4FA5-9780-BD4D67B7D8B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'Comptes  2021Graphiques '!$A$64:$C$64</c:f>
              <c:strCache>
                <c:ptCount val="3"/>
                <c:pt idx="0">
                  <c:v>Dons/Giften</c:v>
                </c:pt>
                <c:pt idx="1">
                  <c:v>Actions/Acties</c:v>
                </c:pt>
                <c:pt idx="2">
                  <c:v>Autres/andere</c:v>
                </c:pt>
              </c:strCache>
            </c:strRef>
          </c:cat>
          <c:val>
            <c:numRef>
              <c:f>'Comptes  2021Graphiques '!$A$65:$C$65</c:f>
              <c:numCache>
                <c:formatCode>#,##0</c:formatCode>
                <c:ptCount val="3"/>
                <c:pt idx="0">
                  <c:v>3252860.0700000003</c:v>
                </c:pt>
                <c:pt idx="1">
                  <c:v>511961.77</c:v>
                </c:pt>
                <c:pt idx="2">
                  <c:v>1088240.4100000001</c:v>
                </c:pt>
              </c:numCache>
            </c:numRef>
          </c:val>
          <c:extLst>
            <c:ext xmlns:c16="http://schemas.microsoft.com/office/drawing/2014/chart" uri="{C3380CC4-5D6E-409C-BE32-E72D297353CC}">
              <c16:uniqueId val="{00000006-219F-4FA5-9780-BD4D67B7D8B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971550</xdr:colOff>
      <xdr:row>4</xdr:row>
      <xdr:rowOff>114299</xdr:rowOff>
    </xdr:from>
    <xdr:to>
      <xdr:col>3</xdr:col>
      <xdr:colOff>895349</xdr:colOff>
      <xdr:row>27</xdr:row>
      <xdr:rowOff>95249</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962025</xdr:colOff>
      <xdr:row>36</xdr:row>
      <xdr:rowOff>129540</xdr:rowOff>
    </xdr:from>
    <xdr:to>
      <xdr:col>3</xdr:col>
      <xdr:colOff>1546860</xdr:colOff>
      <xdr:row>58</xdr:row>
      <xdr:rowOff>95250</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933450</xdr:colOff>
      <xdr:row>67</xdr:row>
      <xdr:rowOff>161924</xdr:rowOff>
    </xdr:from>
    <xdr:to>
      <xdr:col>3</xdr:col>
      <xdr:colOff>1104900</xdr:colOff>
      <xdr:row>90</xdr:row>
      <xdr:rowOff>85725</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Kris Van Kerkhoven" id="{CD33AA48-54F7-4890-906D-D22651EB0D91}" userId="S::Kris@muco.be::ca68f6ba-b324-4bd8-bef4-4d0a4fbbe859" providerId="AD"/>
  <person displayName="Stefan - Muco" id="{505DFFAC-CC1A-4558-976F-516F3C57644F}" userId="S::stefan@muco.be::36f7e0d1-f9f9-4015-915e-4ebe2235343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81" dT="2021-11-16T14:27:52.43" personId="{505DFFAC-CC1A-4558-976F-516F3C57644F}" id="{525DCD72-C5DF-4332-BB84-A5CF44553031}">
    <text>we willen naar een besparing van 25% maar hoe we dat gaan doen, één asem schrappen of pagina's, moet nog bekeken worden</text>
  </threadedComment>
  <threadedComment ref="H91" dT="2021-11-16T14:43:53.44" personId="{505DFFAC-CC1A-4558-976F-516F3C57644F}" id="{73CECE9C-514F-453D-9366-5B76294DFA84}">
    <text>Kris heeft de vraag aan DSC gesteld waar we kunnen besparen, bv op premiums</text>
  </threadedComment>
  <threadedComment ref="H121" dT="2022-02-10T10:37:02.08" personId="{505DFFAC-CC1A-4558-976F-516F3C57644F}" id="{160B94CF-CF9E-48C4-B25B-2EA869B09D17}">
    <text>???</text>
  </threadedComment>
  <threadedComment ref="H132" dT="2022-02-10T10:39:30.23" personId="{505DFFAC-CC1A-4558-976F-516F3C57644F}" id="{36D04EC3-FEC4-4ECE-AF5B-469926C9F638}">
    <text>??</text>
  </threadedComment>
  <threadedComment ref="H143" dT="2021-11-15T22:02:41.65" personId="{CD33AA48-54F7-4890-906D-D22651EB0D91}" id="{C8EF3465-4A95-4434-B35C-12F574B2372D}">
    <text>Aftrekken ingecalculeerde kosten corporate fundraiser</text>
  </threadedComment>
  <threadedComment ref="H154" dT="2021-11-16T14:44:32.08" personId="{505DFFAC-CC1A-4558-976F-516F3C57644F}" id="{B225BEFD-3301-4FB4-B66A-8D2583B0D658}">
    <text>enkel eigen team naar congres, geen steun naar centra</text>
  </threadedComment>
  <threadedComment ref="H174" dT="2021-11-16T14:44:53.78" personId="{505DFFAC-CC1A-4558-976F-516F3C57644F}" id="{F64BDE54-CFB9-49A2-92FC-23D1B6E457A2}">
    <text>geen teambuilding dit jaar</text>
  </threadedComment>
  <threadedComment ref="H235" dT="2021-11-16T14:49:51.58" personId="{505DFFAC-CC1A-4558-976F-516F3C57644F}" id="{DED374BC-44E1-4A42-83E8-08198CC857C9}">
    <text>Kris berekent nog de geprojecteerde inkomsten uit de streetraising die wegvallen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N318"/>
  <sheetViews>
    <sheetView tabSelected="1" topLeftCell="B1" zoomScale="75" zoomScaleNormal="75" workbookViewId="0">
      <pane ySplit="1" topLeftCell="A300" activePane="bottomLeft" state="frozen"/>
      <selection activeCell="B1" sqref="B1"/>
      <selection pane="bottomLeft" activeCell="H1" sqref="H1:H1048576"/>
    </sheetView>
  </sheetViews>
  <sheetFormatPr defaultColWidth="11.453125" defaultRowHeight="12.5" outlineLevelRow="2" x14ac:dyDescent="0.25"/>
  <cols>
    <col min="1" max="1" width="89.54296875" hidden="1" customWidth="1"/>
    <col min="2" max="2" width="44.1796875" customWidth="1"/>
    <col min="3" max="3" width="17.1796875" bestFit="1" customWidth="1"/>
    <col min="4" max="4" width="18.81640625" customWidth="1"/>
    <col min="5" max="5" width="19.453125" bestFit="1" customWidth="1"/>
    <col min="6" max="6" width="10.1796875" bestFit="1" customWidth="1"/>
    <col min="7" max="7" width="25.1796875" bestFit="1" customWidth="1"/>
    <col min="8" max="8" width="27.453125" bestFit="1" customWidth="1"/>
    <col min="9" max="9" width="60.81640625" customWidth="1"/>
    <col min="10" max="10" width="135.54296875" customWidth="1"/>
  </cols>
  <sheetData>
    <row r="1" spans="1:10" s="2" customFormat="1" ht="61.5" customHeight="1" thickBot="1" x14ac:dyDescent="0.5">
      <c r="A1" s="11" t="s">
        <v>0</v>
      </c>
      <c r="B1" s="9" t="s">
        <v>1</v>
      </c>
      <c r="C1" s="36" t="s">
        <v>2</v>
      </c>
      <c r="D1" s="36" t="s">
        <v>3</v>
      </c>
      <c r="E1" s="36" t="s">
        <v>859</v>
      </c>
      <c r="F1" s="36"/>
      <c r="G1" s="46" t="s">
        <v>4</v>
      </c>
      <c r="H1" s="82" t="s">
        <v>860</v>
      </c>
      <c r="I1" s="10" t="s">
        <v>5</v>
      </c>
      <c r="J1" s="11" t="s">
        <v>6</v>
      </c>
    </row>
    <row r="2" spans="1:10" ht="13" x14ac:dyDescent="0.3">
      <c r="A2" s="14"/>
      <c r="B2" s="12" t="s">
        <v>7</v>
      </c>
      <c r="C2" s="83">
        <f>C3+C10+C21+C28</f>
        <v>789017.74</v>
      </c>
      <c r="D2" s="84">
        <f>D3+D10+D21+D28</f>
        <v>722583.16999999993</v>
      </c>
      <c r="E2" s="85">
        <f>E3+E10+E21+E28</f>
        <v>694704.78</v>
      </c>
      <c r="F2" s="68">
        <f t="shared" ref="F2:F44" si="0">E2/G2</f>
        <v>0.89081846508944029</v>
      </c>
      <c r="G2" s="47">
        <f t="shared" ref="G2:H2" si="1">G3+G10+G21+G28</f>
        <v>779850</v>
      </c>
      <c r="H2" s="47">
        <f t="shared" si="1"/>
        <v>776451</v>
      </c>
      <c r="I2" s="13" t="s">
        <v>8</v>
      </c>
      <c r="J2" s="14"/>
    </row>
    <row r="3" spans="1:10" ht="13" outlineLevel="1" x14ac:dyDescent="0.3">
      <c r="A3" s="14"/>
      <c r="B3" s="12" t="s">
        <v>9</v>
      </c>
      <c r="C3" s="83">
        <f t="shared" ref="C3" si="2">C4+C5+C6+C7+C8+C9</f>
        <v>301557.68</v>
      </c>
      <c r="D3" s="84">
        <f>D4+D5+D6+D7+D8+D9</f>
        <v>288879.77999999997</v>
      </c>
      <c r="E3" s="85">
        <f>E4+E5+E6+E7+E8+E9</f>
        <v>302073.18</v>
      </c>
      <c r="F3" s="68">
        <f t="shared" si="0"/>
        <v>1.0119704522613064</v>
      </c>
      <c r="G3" s="47">
        <f t="shared" ref="G3:H3" si="3">G4+G5+G6+G7+G8+G9</f>
        <v>298500</v>
      </c>
      <c r="H3" s="47">
        <f t="shared" si="3"/>
        <v>309451</v>
      </c>
      <c r="I3" s="15" t="s">
        <v>10</v>
      </c>
      <c r="J3" s="14"/>
    </row>
    <row r="4" spans="1:10" ht="38" outlineLevel="1" x14ac:dyDescent="0.3">
      <c r="A4" s="20" t="s">
        <v>11</v>
      </c>
      <c r="B4" s="16" t="s">
        <v>12</v>
      </c>
      <c r="C4" s="86">
        <v>44843.66</v>
      </c>
      <c r="D4" s="84">
        <v>39634.769999999997</v>
      </c>
      <c r="E4" s="85">
        <v>44001.51</v>
      </c>
      <c r="F4" s="68">
        <f t="shared" si="0"/>
        <v>1.047655</v>
      </c>
      <c r="G4" s="47">
        <v>42000</v>
      </c>
      <c r="H4" s="47">
        <v>42152</v>
      </c>
      <c r="I4" s="15" t="s">
        <v>13</v>
      </c>
      <c r="J4" s="20" t="s">
        <v>14</v>
      </c>
    </row>
    <row r="5" spans="1:10" ht="25.5" outlineLevel="1" x14ac:dyDescent="0.3">
      <c r="A5" s="14" t="s">
        <v>15</v>
      </c>
      <c r="B5" s="16" t="s">
        <v>16</v>
      </c>
      <c r="C5" s="86">
        <v>128481.97</v>
      </c>
      <c r="D5" s="84">
        <v>131614.07</v>
      </c>
      <c r="E5" s="85">
        <v>135108.04999999999</v>
      </c>
      <c r="F5" s="68">
        <f t="shared" si="0"/>
        <v>1.0313591603053434</v>
      </c>
      <c r="G5" s="47">
        <v>131000</v>
      </c>
      <c r="H5" s="47">
        <v>139293</v>
      </c>
      <c r="I5" s="15" t="s">
        <v>17</v>
      </c>
      <c r="J5" s="14" t="s">
        <v>18</v>
      </c>
    </row>
    <row r="6" spans="1:10" ht="25.5" outlineLevel="1" x14ac:dyDescent="0.3">
      <c r="A6" s="14" t="s">
        <v>19</v>
      </c>
      <c r="B6" s="16" t="s">
        <v>20</v>
      </c>
      <c r="C6" s="86">
        <v>25417.119999999999</v>
      </c>
      <c r="D6" s="84">
        <v>22887.99</v>
      </c>
      <c r="E6" s="85">
        <v>28182.34</v>
      </c>
      <c r="F6" s="68">
        <f t="shared" si="0"/>
        <v>1.2253191304347826</v>
      </c>
      <c r="G6" s="47">
        <v>23000</v>
      </c>
      <c r="H6" s="47">
        <v>23211</v>
      </c>
      <c r="I6" s="15" t="s">
        <v>21</v>
      </c>
      <c r="J6" s="14" t="s">
        <v>22</v>
      </c>
    </row>
    <row r="7" spans="1:10" ht="13" outlineLevel="1" x14ac:dyDescent="0.3">
      <c r="A7" s="14" t="s">
        <v>23</v>
      </c>
      <c r="B7" s="16" t="s">
        <v>24</v>
      </c>
      <c r="C7" s="86">
        <v>0</v>
      </c>
      <c r="D7" s="84">
        <v>0</v>
      </c>
      <c r="E7" s="87"/>
      <c r="F7" s="68">
        <f t="shared" si="0"/>
        <v>0</v>
      </c>
      <c r="G7" s="47">
        <v>500</v>
      </c>
      <c r="H7" s="47">
        <f>E7*12/8</f>
        <v>0</v>
      </c>
      <c r="I7" s="15" t="s">
        <v>25</v>
      </c>
      <c r="J7" s="14" t="s">
        <v>26</v>
      </c>
    </row>
    <row r="8" spans="1:10" ht="25.5" outlineLevel="1" x14ac:dyDescent="0.3">
      <c r="A8" s="14" t="s">
        <v>27</v>
      </c>
      <c r="B8" s="16" t="s">
        <v>28</v>
      </c>
      <c r="C8" s="86">
        <v>99369.93</v>
      </c>
      <c r="D8" s="84">
        <v>93742.95</v>
      </c>
      <c r="E8" s="85">
        <v>94055.33</v>
      </c>
      <c r="F8" s="68">
        <f t="shared" si="0"/>
        <v>0.94055330000000004</v>
      </c>
      <c r="G8" s="47">
        <v>100000</v>
      </c>
      <c r="H8" s="47">
        <v>102795</v>
      </c>
      <c r="I8" s="15" t="s">
        <v>29</v>
      </c>
      <c r="J8" s="14" t="s">
        <v>30</v>
      </c>
    </row>
    <row r="9" spans="1:10" ht="15" customHeight="1" outlineLevel="1" x14ac:dyDescent="0.3">
      <c r="A9" s="14" t="s">
        <v>31</v>
      </c>
      <c r="B9" s="16" t="s">
        <v>32</v>
      </c>
      <c r="C9" s="86">
        <v>3445</v>
      </c>
      <c r="D9" s="84">
        <v>1000</v>
      </c>
      <c r="E9" s="85">
        <v>725.95</v>
      </c>
      <c r="F9" s="68">
        <f t="shared" si="0"/>
        <v>0.36297500000000005</v>
      </c>
      <c r="G9" s="61">
        <v>2000</v>
      </c>
      <c r="H9" s="47">
        <v>2000</v>
      </c>
      <c r="I9" s="15" t="s">
        <v>33</v>
      </c>
      <c r="J9" s="14" t="s">
        <v>34</v>
      </c>
    </row>
    <row r="10" spans="1:10" ht="13" outlineLevel="1" x14ac:dyDescent="0.3">
      <c r="A10" s="14"/>
      <c r="B10" s="12" t="s">
        <v>35</v>
      </c>
      <c r="C10" s="86">
        <f>SUM(C11:C20)</f>
        <v>250316.44</v>
      </c>
      <c r="D10" s="84">
        <f>SUM(D11:D20)</f>
        <v>220780.78</v>
      </c>
      <c r="E10" s="85">
        <f>SUM(E11:E20)</f>
        <v>202420.99000000002</v>
      </c>
      <c r="F10" s="68">
        <f t="shared" si="0"/>
        <v>0.83472573195876298</v>
      </c>
      <c r="G10" s="61">
        <f t="shared" ref="G10:H10" si="4">SUM(G11:G20)</f>
        <v>242500</v>
      </c>
      <c r="H10" s="47">
        <f t="shared" si="4"/>
        <v>239200</v>
      </c>
      <c r="I10" s="13" t="s">
        <v>36</v>
      </c>
      <c r="J10" s="14"/>
    </row>
    <row r="11" spans="1:10" ht="13" outlineLevel="1" x14ac:dyDescent="0.3">
      <c r="A11" s="14" t="s">
        <v>37</v>
      </c>
      <c r="B11" s="16" t="s">
        <v>38</v>
      </c>
      <c r="C11" s="86">
        <v>94075.64</v>
      </c>
      <c r="D11" s="84">
        <v>80820.81</v>
      </c>
      <c r="E11" s="85">
        <v>92085.24</v>
      </c>
      <c r="F11" s="68">
        <f t="shared" si="0"/>
        <v>1.0231693333333334</v>
      </c>
      <c r="G11" s="61">
        <v>90000</v>
      </c>
      <c r="H11" s="47">
        <v>92000</v>
      </c>
      <c r="I11" s="15" t="s">
        <v>39</v>
      </c>
      <c r="J11" s="14" t="s">
        <v>40</v>
      </c>
    </row>
    <row r="12" spans="1:10" ht="25.5" outlineLevel="1" x14ac:dyDescent="0.3">
      <c r="A12" s="28" t="s">
        <v>41</v>
      </c>
      <c r="B12" s="16" t="s">
        <v>42</v>
      </c>
      <c r="C12" s="86">
        <v>14524.31</v>
      </c>
      <c r="D12" s="84">
        <v>13336.81</v>
      </c>
      <c r="E12" s="85">
        <v>19331.7</v>
      </c>
      <c r="F12" s="68">
        <f t="shared" si="0"/>
        <v>1.9331700000000001</v>
      </c>
      <c r="G12" s="61">
        <v>10000</v>
      </c>
      <c r="H12" s="47">
        <v>14500</v>
      </c>
      <c r="I12" s="15" t="s">
        <v>43</v>
      </c>
      <c r="J12" s="14" t="s">
        <v>44</v>
      </c>
    </row>
    <row r="13" spans="1:10" ht="13" outlineLevel="1" x14ac:dyDescent="0.3">
      <c r="A13" s="14" t="s">
        <v>45</v>
      </c>
      <c r="B13" s="16" t="s">
        <v>46</v>
      </c>
      <c r="C13" s="86">
        <v>1620</v>
      </c>
      <c r="D13" s="84">
        <v>300</v>
      </c>
      <c r="E13" s="85">
        <v>1320</v>
      </c>
      <c r="F13" s="68">
        <f t="shared" si="0"/>
        <v>0.88</v>
      </c>
      <c r="G13" s="61">
        <v>1500</v>
      </c>
      <c r="H13" s="47">
        <v>1500</v>
      </c>
      <c r="I13" s="15" t="s">
        <v>47</v>
      </c>
      <c r="J13" s="14" t="s">
        <v>48</v>
      </c>
    </row>
    <row r="14" spans="1:10" ht="13" outlineLevel="1" x14ac:dyDescent="0.3">
      <c r="A14" s="14" t="s">
        <v>49</v>
      </c>
      <c r="B14" s="16" t="s">
        <v>50</v>
      </c>
      <c r="C14" s="86">
        <v>0</v>
      </c>
      <c r="D14" s="84">
        <v>0</v>
      </c>
      <c r="E14" s="85">
        <v>1300</v>
      </c>
      <c r="F14" s="68">
        <f t="shared" si="0"/>
        <v>0.43333333333333335</v>
      </c>
      <c r="G14" s="61">
        <v>3000</v>
      </c>
      <c r="H14" s="47">
        <v>2000</v>
      </c>
      <c r="I14" s="15" t="s">
        <v>51</v>
      </c>
      <c r="J14" s="14" t="s">
        <v>52</v>
      </c>
    </row>
    <row r="15" spans="1:10" ht="25.5" outlineLevel="1" x14ac:dyDescent="0.3">
      <c r="A15" s="14" t="s">
        <v>53</v>
      </c>
      <c r="B15" s="16" t="s">
        <v>54</v>
      </c>
      <c r="C15" s="86">
        <v>0</v>
      </c>
      <c r="D15" s="84">
        <v>0</v>
      </c>
      <c r="E15" s="85">
        <v>2412.4699999999998</v>
      </c>
      <c r="F15" s="68">
        <f t="shared" si="0"/>
        <v>0.48249399999999998</v>
      </c>
      <c r="G15" s="61">
        <v>5000</v>
      </c>
      <c r="H15" s="47">
        <v>3300</v>
      </c>
      <c r="I15" s="15" t="s">
        <v>55</v>
      </c>
      <c r="J15" s="14" t="s">
        <v>56</v>
      </c>
    </row>
    <row r="16" spans="1:10" ht="13" outlineLevel="1" x14ac:dyDescent="0.3">
      <c r="A16" s="20" t="s">
        <v>57</v>
      </c>
      <c r="B16" s="16" t="s">
        <v>58</v>
      </c>
      <c r="C16" s="86">
        <v>487.18</v>
      </c>
      <c r="D16" s="84">
        <v>340.5</v>
      </c>
      <c r="E16" s="85">
        <v>0</v>
      </c>
      <c r="F16" s="68">
        <f t="shared" si="0"/>
        <v>0</v>
      </c>
      <c r="G16" s="61">
        <v>500</v>
      </c>
      <c r="H16" s="47">
        <v>500</v>
      </c>
      <c r="I16" s="15" t="s">
        <v>59</v>
      </c>
      <c r="J16" s="20" t="s">
        <v>60</v>
      </c>
    </row>
    <row r="17" spans="1:10" ht="13" outlineLevel="1" x14ac:dyDescent="0.3">
      <c r="A17" s="14"/>
      <c r="B17" s="16" t="s">
        <v>61</v>
      </c>
      <c r="C17" s="86">
        <v>112542.24</v>
      </c>
      <c r="D17" s="84">
        <v>90453.21</v>
      </c>
      <c r="E17" s="85">
        <v>55677.49</v>
      </c>
      <c r="F17" s="68">
        <f t="shared" si="0"/>
        <v>0.55677489999999996</v>
      </c>
      <c r="G17" s="61">
        <v>100000</v>
      </c>
      <c r="H17" s="47">
        <v>100000</v>
      </c>
      <c r="I17" s="15" t="s">
        <v>62</v>
      </c>
      <c r="J17" s="14" t="s">
        <v>63</v>
      </c>
    </row>
    <row r="18" spans="1:10" ht="13" outlineLevel="1" x14ac:dyDescent="0.3">
      <c r="A18" s="14"/>
      <c r="B18" s="16" t="s">
        <v>64</v>
      </c>
      <c r="C18" s="86">
        <v>1100.1300000000001</v>
      </c>
      <c r="D18" s="84">
        <v>2674.09</v>
      </c>
      <c r="E18" s="85">
        <v>1779.89</v>
      </c>
      <c r="F18" s="68">
        <f t="shared" si="0"/>
        <v>0.71195600000000003</v>
      </c>
      <c r="G18" s="61">
        <v>2500</v>
      </c>
      <c r="H18" s="47">
        <v>2200</v>
      </c>
      <c r="I18" s="15" t="s">
        <v>65</v>
      </c>
      <c r="J18" s="14"/>
    </row>
    <row r="19" spans="1:10" ht="16.5" customHeight="1" outlineLevel="1" x14ac:dyDescent="0.3">
      <c r="A19" s="14"/>
      <c r="B19" s="16" t="s">
        <v>66</v>
      </c>
      <c r="C19" s="86">
        <v>5206.55</v>
      </c>
      <c r="D19" s="84">
        <v>4576.8599999999997</v>
      </c>
      <c r="E19" s="85">
        <v>3537.98</v>
      </c>
      <c r="F19" s="68">
        <f t="shared" si="0"/>
        <v>0.707596</v>
      </c>
      <c r="G19" s="61">
        <v>5000</v>
      </c>
      <c r="H19" s="47">
        <v>3200</v>
      </c>
      <c r="I19" s="15" t="s">
        <v>67</v>
      </c>
      <c r="J19" s="14"/>
    </row>
    <row r="20" spans="1:10" s="44" customFormat="1" ht="25.5" outlineLevel="1" x14ac:dyDescent="0.3">
      <c r="A20" s="20" t="s">
        <v>68</v>
      </c>
      <c r="B20" s="16" t="s">
        <v>69</v>
      </c>
      <c r="C20" s="86">
        <v>20760.39</v>
      </c>
      <c r="D20" s="84">
        <v>28278.5</v>
      </c>
      <c r="E20" s="85">
        <f>4300.32+20675.9</f>
        <v>24976.22</v>
      </c>
      <c r="F20" s="68">
        <f t="shared" si="0"/>
        <v>0.99904880000000007</v>
      </c>
      <c r="G20" s="61">
        <v>25000</v>
      </c>
      <c r="H20" s="47">
        <v>20000</v>
      </c>
      <c r="I20" s="17" t="s">
        <v>70</v>
      </c>
      <c r="J20" s="20" t="s">
        <v>71</v>
      </c>
    </row>
    <row r="21" spans="1:10" ht="13.5" customHeight="1" outlineLevel="1" x14ac:dyDescent="0.3">
      <c r="A21" s="14"/>
      <c r="B21" s="12" t="s">
        <v>72</v>
      </c>
      <c r="C21" s="86">
        <f>SUM(C22:C27)</f>
        <v>22559</v>
      </c>
      <c r="D21" s="84">
        <f>D22+D23+D24+D25+D26+D27</f>
        <v>15790.669999999998</v>
      </c>
      <c r="E21" s="85">
        <f>E22+E23+E24+E25+E26+E27</f>
        <v>26861.110000000004</v>
      </c>
      <c r="F21" s="68">
        <f t="shared" si="0"/>
        <v>1.3264745679012349</v>
      </c>
      <c r="G21" s="61">
        <f t="shared" ref="G21:H21" si="5">G22+G23+G24+G25+G26+G27</f>
        <v>20250</v>
      </c>
      <c r="H21" s="61">
        <f t="shared" si="5"/>
        <v>22500</v>
      </c>
      <c r="I21" s="13" t="s">
        <v>73</v>
      </c>
      <c r="J21" s="14"/>
    </row>
    <row r="22" spans="1:10" ht="25.5" outlineLevel="1" x14ac:dyDescent="0.3">
      <c r="A22" s="14" t="s">
        <v>74</v>
      </c>
      <c r="B22" s="16" t="s">
        <v>75</v>
      </c>
      <c r="C22" s="86">
        <v>1194.29</v>
      </c>
      <c r="D22" s="84">
        <v>747.76</v>
      </c>
      <c r="E22" s="85">
        <v>2790.95</v>
      </c>
      <c r="F22" s="68">
        <f t="shared" si="0"/>
        <v>3.7212666666666663</v>
      </c>
      <c r="G22" s="61">
        <v>750</v>
      </c>
      <c r="H22" s="47">
        <v>2500</v>
      </c>
      <c r="I22" s="15" t="s">
        <v>76</v>
      </c>
      <c r="J22" s="14" t="s">
        <v>77</v>
      </c>
    </row>
    <row r="23" spans="1:10" ht="25.5" outlineLevel="1" x14ac:dyDescent="0.3">
      <c r="A23" s="14" t="s">
        <v>78</v>
      </c>
      <c r="B23" s="16" t="s">
        <v>79</v>
      </c>
      <c r="C23" s="86">
        <v>7181.71</v>
      </c>
      <c r="D23" s="84">
        <v>5007.9399999999996</v>
      </c>
      <c r="E23" s="85">
        <v>21128.52</v>
      </c>
      <c r="F23" s="68">
        <f t="shared" si="0"/>
        <v>4.2257040000000003</v>
      </c>
      <c r="G23" s="61">
        <v>5000</v>
      </c>
      <c r="H23" s="47">
        <v>5000</v>
      </c>
      <c r="I23" s="15" t="s">
        <v>80</v>
      </c>
      <c r="J23" s="14" t="s">
        <v>81</v>
      </c>
    </row>
    <row r="24" spans="1:10" ht="38" outlineLevel="1" x14ac:dyDescent="0.3">
      <c r="A24" s="14" t="s">
        <v>82</v>
      </c>
      <c r="B24" s="16" t="s">
        <v>83</v>
      </c>
      <c r="C24" s="86">
        <v>9636.58</v>
      </c>
      <c r="D24" s="84">
        <v>8200.74</v>
      </c>
      <c r="E24" s="85">
        <v>1016.9</v>
      </c>
      <c r="F24" s="68">
        <f t="shared" si="0"/>
        <v>0.11298888888888889</v>
      </c>
      <c r="G24" s="61">
        <v>9000</v>
      </c>
      <c r="H24" s="61">
        <v>9000</v>
      </c>
      <c r="I24" s="17" t="s">
        <v>84</v>
      </c>
      <c r="J24" s="14" t="s">
        <v>85</v>
      </c>
    </row>
    <row r="25" spans="1:10" ht="25.5" outlineLevel="1" x14ac:dyDescent="0.3">
      <c r="A25" s="14" t="s">
        <v>86</v>
      </c>
      <c r="B25" s="16" t="s">
        <v>87</v>
      </c>
      <c r="C25" s="86">
        <v>4519.12</v>
      </c>
      <c r="D25" s="84">
        <v>1587.33</v>
      </c>
      <c r="E25" s="85">
        <v>1305.74</v>
      </c>
      <c r="F25" s="68">
        <f t="shared" si="0"/>
        <v>0.29016444444444445</v>
      </c>
      <c r="G25" s="61">
        <v>4500</v>
      </c>
      <c r="H25" s="61">
        <v>4500</v>
      </c>
      <c r="I25" s="17" t="s">
        <v>88</v>
      </c>
      <c r="J25" s="14" t="s">
        <v>89</v>
      </c>
    </row>
    <row r="26" spans="1:10" ht="13" outlineLevel="1" x14ac:dyDescent="0.3">
      <c r="A26" s="14"/>
      <c r="B26" s="16" t="s">
        <v>90</v>
      </c>
      <c r="C26" s="86">
        <v>27.3</v>
      </c>
      <c r="D26" s="84">
        <v>246.9</v>
      </c>
      <c r="E26" s="85">
        <v>619</v>
      </c>
      <c r="F26" s="68">
        <f t="shared" si="0"/>
        <v>1.238</v>
      </c>
      <c r="G26" s="61">
        <v>500</v>
      </c>
      <c r="H26" s="61">
        <v>1000</v>
      </c>
      <c r="I26" s="17" t="s">
        <v>91</v>
      </c>
      <c r="J26" s="14"/>
    </row>
    <row r="27" spans="1:10" ht="13" outlineLevel="1" x14ac:dyDescent="0.3">
      <c r="A27" s="14"/>
      <c r="B27" s="16" t="s">
        <v>92</v>
      </c>
      <c r="C27" s="86">
        <v>0</v>
      </c>
      <c r="D27" s="84"/>
      <c r="E27" s="87"/>
      <c r="F27" s="68">
        <f t="shared" si="0"/>
        <v>0</v>
      </c>
      <c r="G27" s="61">
        <v>500</v>
      </c>
      <c r="H27" s="61">
        <v>500</v>
      </c>
      <c r="I27" s="17" t="s">
        <v>93</v>
      </c>
      <c r="J27" s="14"/>
    </row>
    <row r="28" spans="1:10" ht="13" outlineLevel="1" x14ac:dyDescent="0.3">
      <c r="A28" s="14"/>
      <c r="B28" s="12" t="s">
        <v>94</v>
      </c>
      <c r="C28" s="83">
        <f t="shared" ref="C28" si="6">SUM(C29:C43)</f>
        <v>214584.61999999997</v>
      </c>
      <c r="D28" s="86">
        <f>SUM(D29:D43)</f>
        <v>197131.94</v>
      </c>
      <c r="E28" s="85">
        <f>SUM(E29:E43)</f>
        <v>163349.5</v>
      </c>
      <c r="F28" s="68">
        <f t="shared" si="0"/>
        <v>0.74725297346752062</v>
      </c>
      <c r="G28" s="61">
        <f t="shared" ref="G28:H28" si="7">SUM(G29:G43)</f>
        <v>218600</v>
      </c>
      <c r="H28" s="61">
        <f t="shared" si="7"/>
        <v>205300</v>
      </c>
      <c r="I28" s="13" t="s">
        <v>95</v>
      </c>
      <c r="J28" s="14"/>
    </row>
    <row r="29" spans="1:10" ht="13" outlineLevel="1" x14ac:dyDescent="0.3">
      <c r="A29" s="14" t="s">
        <v>96</v>
      </c>
      <c r="B29" s="16" t="s">
        <v>97</v>
      </c>
      <c r="C29" s="86">
        <v>7310.43</v>
      </c>
      <c r="D29" s="84">
        <v>3536.61</v>
      </c>
      <c r="E29" s="85">
        <v>2850.69</v>
      </c>
      <c r="F29" s="68">
        <f t="shared" si="0"/>
        <v>0.81448285714285718</v>
      </c>
      <c r="G29" s="61">
        <v>3500</v>
      </c>
      <c r="H29" s="61">
        <v>5000</v>
      </c>
      <c r="I29" s="17" t="s">
        <v>98</v>
      </c>
      <c r="J29" s="14" t="s">
        <v>99</v>
      </c>
    </row>
    <row r="30" spans="1:10" ht="25.5" outlineLevel="1" x14ac:dyDescent="0.3">
      <c r="A30" s="14" t="s">
        <v>100</v>
      </c>
      <c r="B30" s="16" t="s">
        <v>101</v>
      </c>
      <c r="C30" s="86">
        <v>21211.01</v>
      </c>
      <c r="D30" s="84">
        <v>16438.560000000001</v>
      </c>
      <c r="E30" s="85">
        <v>6942.52</v>
      </c>
      <c r="F30" s="68">
        <f t="shared" si="0"/>
        <v>0.41324523809523811</v>
      </c>
      <c r="G30" s="61">
        <v>16800</v>
      </c>
      <c r="H30" s="61">
        <v>16800</v>
      </c>
      <c r="I30" s="17" t="s">
        <v>102</v>
      </c>
      <c r="J30" s="14" t="s">
        <v>103</v>
      </c>
    </row>
    <row r="31" spans="1:10" ht="25.5" outlineLevel="1" x14ac:dyDescent="0.3">
      <c r="A31" s="14" t="s">
        <v>104</v>
      </c>
      <c r="B31" s="16" t="s">
        <v>105</v>
      </c>
      <c r="C31" s="86">
        <v>745.99</v>
      </c>
      <c r="D31" s="84">
        <v>0</v>
      </c>
      <c r="E31" s="85">
        <f>252+403.4</f>
        <v>655.4</v>
      </c>
      <c r="F31" s="68">
        <f t="shared" si="0"/>
        <v>0.43693333333333334</v>
      </c>
      <c r="G31" s="61">
        <v>1500</v>
      </c>
      <c r="H31" s="61">
        <v>1500</v>
      </c>
      <c r="I31" s="17" t="s">
        <v>106</v>
      </c>
      <c r="J31" s="14" t="s">
        <v>107</v>
      </c>
    </row>
    <row r="32" spans="1:10" ht="25.5" outlineLevel="1" x14ac:dyDescent="0.3">
      <c r="A32" s="14" t="s">
        <v>108</v>
      </c>
      <c r="B32" s="16" t="s">
        <v>109</v>
      </c>
      <c r="C32" s="86">
        <v>23083.17</v>
      </c>
      <c r="D32" s="84">
        <v>26566.6</v>
      </c>
      <c r="E32" s="85">
        <v>21442.6</v>
      </c>
      <c r="F32" s="68">
        <f t="shared" si="0"/>
        <v>0.7658071428571428</v>
      </c>
      <c r="G32" s="61">
        <v>28000</v>
      </c>
      <c r="H32" s="61">
        <v>27000</v>
      </c>
      <c r="I32" s="17" t="s">
        <v>110</v>
      </c>
      <c r="J32" s="14" t="s">
        <v>111</v>
      </c>
    </row>
    <row r="33" spans="1:10" ht="13" outlineLevel="1" x14ac:dyDescent="0.3">
      <c r="A33" s="14" t="s">
        <v>112</v>
      </c>
      <c r="B33" s="16" t="s">
        <v>113</v>
      </c>
      <c r="C33" s="86">
        <v>5147.45</v>
      </c>
      <c r="D33" s="84">
        <v>2516.0500000000002</v>
      </c>
      <c r="E33" s="85">
        <v>1500.69</v>
      </c>
      <c r="F33" s="68">
        <f t="shared" si="0"/>
        <v>0.30013800000000002</v>
      </c>
      <c r="G33" s="61">
        <v>5000</v>
      </c>
      <c r="H33" s="61">
        <v>2500</v>
      </c>
      <c r="I33" s="17" t="s">
        <v>114</v>
      </c>
      <c r="J33" s="14" t="s">
        <v>115</v>
      </c>
    </row>
    <row r="34" spans="1:10" ht="13" outlineLevel="1" x14ac:dyDescent="0.3">
      <c r="A34" s="14" t="s">
        <v>116</v>
      </c>
      <c r="B34" s="16" t="s">
        <v>117</v>
      </c>
      <c r="C34" s="86">
        <v>9001.17</v>
      </c>
      <c r="D34" s="84">
        <v>10530.26</v>
      </c>
      <c r="E34" s="85">
        <v>10970.46</v>
      </c>
      <c r="F34" s="68">
        <f t="shared" si="0"/>
        <v>0.99731454545454534</v>
      </c>
      <c r="G34" s="61">
        <v>11000</v>
      </c>
      <c r="H34" s="61">
        <v>11000</v>
      </c>
      <c r="I34" s="17" t="s">
        <v>118</v>
      </c>
      <c r="J34" s="14" t="s">
        <v>119</v>
      </c>
    </row>
    <row r="35" spans="1:10" ht="13" outlineLevel="1" x14ac:dyDescent="0.3">
      <c r="A35" s="14" t="s">
        <v>120</v>
      </c>
      <c r="B35" s="16" t="s">
        <v>121</v>
      </c>
      <c r="C35" s="86">
        <v>2675.03</v>
      </c>
      <c r="D35" s="84">
        <v>2985.69</v>
      </c>
      <c r="E35" s="85">
        <v>3803.34</v>
      </c>
      <c r="F35" s="68">
        <f t="shared" si="0"/>
        <v>1.0008789473684212</v>
      </c>
      <c r="G35" s="61">
        <v>3800</v>
      </c>
      <c r="H35" s="61">
        <v>4000</v>
      </c>
      <c r="I35" s="17" t="s">
        <v>122</v>
      </c>
      <c r="J35" s="14" t="s">
        <v>123</v>
      </c>
    </row>
    <row r="36" spans="1:10" ht="25.5" outlineLevel="1" x14ac:dyDescent="0.3">
      <c r="A36" s="20" t="s">
        <v>124</v>
      </c>
      <c r="B36" s="16" t="s">
        <v>125</v>
      </c>
      <c r="C36" s="86">
        <v>17427.43</v>
      </c>
      <c r="D36" s="84">
        <v>14992.22</v>
      </c>
      <c r="E36" s="85">
        <v>12663.85</v>
      </c>
      <c r="F36" s="68">
        <f t="shared" si="0"/>
        <v>0.70354722222222221</v>
      </c>
      <c r="G36" s="61">
        <v>18000</v>
      </c>
      <c r="H36" s="61">
        <v>14000</v>
      </c>
      <c r="I36" s="17" t="s">
        <v>126</v>
      </c>
      <c r="J36" s="14" t="s">
        <v>127</v>
      </c>
    </row>
    <row r="37" spans="1:10" s="7" customFormat="1" ht="13" outlineLevel="1" x14ac:dyDescent="0.3">
      <c r="A37" s="14" t="s">
        <v>128</v>
      </c>
      <c r="B37" s="16" t="s">
        <v>129</v>
      </c>
      <c r="C37" s="86">
        <v>82654.38</v>
      </c>
      <c r="D37" s="84">
        <v>86591.05</v>
      </c>
      <c r="E37" s="85">
        <v>70363.09</v>
      </c>
      <c r="F37" s="68">
        <f t="shared" si="0"/>
        <v>0.78181211111111104</v>
      </c>
      <c r="G37" s="61">
        <v>90000</v>
      </c>
      <c r="H37" s="61">
        <v>82000</v>
      </c>
      <c r="I37" s="17" t="s">
        <v>130</v>
      </c>
      <c r="J37" s="20" t="s">
        <v>131</v>
      </c>
    </row>
    <row r="38" spans="1:10" ht="25.5" outlineLevel="1" x14ac:dyDescent="0.3">
      <c r="A38" s="20" t="s">
        <v>132</v>
      </c>
      <c r="B38" s="16" t="s">
        <v>133</v>
      </c>
      <c r="C38" s="86">
        <v>13402.9</v>
      </c>
      <c r="D38" s="84">
        <v>10068.540000000001</v>
      </c>
      <c r="E38" s="85">
        <v>7513.6</v>
      </c>
      <c r="F38" s="68">
        <f t="shared" si="0"/>
        <v>0.68305454545454547</v>
      </c>
      <c r="G38" s="61">
        <v>11000</v>
      </c>
      <c r="H38" s="61">
        <v>9000</v>
      </c>
      <c r="I38" s="17" t="s">
        <v>134</v>
      </c>
      <c r="J38" s="14" t="s">
        <v>135</v>
      </c>
    </row>
    <row r="39" spans="1:10" ht="21" customHeight="1" outlineLevel="1" x14ac:dyDescent="0.3">
      <c r="A39" s="14" t="s">
        <v>136</v>
      </c>
      <c r="B39" s="16" t="s">
        <v>137</v>
      </c>
      <c r="C39" s="86">
        <v>1008.52</v>
      </c>
      <c r="D39" s="84">
        <v>292.33999999999997</v>
      </c>
      <c r="E39" s="85">
        <v>482.61</v>
      </c>
      <c r="F39" s="68">
        <f t="shared" si="0"/>
        <v>0.48261000000000004</v>
      </c>
      <c r="G39" s="61">
        <v>1000</v>
      </c>
      <c r="H39" s="61">
        <v>1000</v>
      </c>
      <c r="I39" s="17" t="s">
        <v>93</v>
      </c>
      <c r="J39" s="20" t="s">
        <v>138</v>
      </c>
    </row>
    <row r="40" spans="1:10" ht="13" outlineLevel="1" x14ac:dyDescent="0.3">
      <c r="A40" s="14" t="s">
        <v>139</v>
      </c>
      <c r="B40" s="16" t="s">
        <v>140</v>
      </c>
      <c r="C40" s="86">
        <v>6356</v>
      </c>
      <c r="D40" s="84">
        <v>2933.3</v>
      </c>
      <c r="E40" s="85">
        <v>2848.06</v>
      </c>
      <c r="F40" s="68">
        <f t="shared" si="0"/>
        <v>0.56961200000000001</v>
      </c>
      <c r="G40" s="61">
        <v>5000</v>
      </c>
      <c r="H40" s="61">
        <v>5000</v>
      </c>
      <c r="I40" s="17" t="s">
        <v>141</v>
      </c>
      <c r="J40" s="14" t="s">
        <v>142</v>
      </c>
    </row>
    <row r="41" spans="1:10" outlineLevel="1" x14ac:dyDescent="0.25">
      <c r="A41" s="14" t="s">
        <v>143</v>
      </c>
      <c r="B41" s="18" t="s">
        <v>144</v>
      </c>
      <c r="C41" s="86">
        <v>12302.56</v>
      </c>
      <c r="D41" s="84">
        <v>7144.62</v>
      </c>
      <c r="E41" s="85">
        <v>7648.39</v>
      </c>
      <c r="F41" s="68">
        <f t="shared" si="0"/>
        <v>0.76483900000000005</v>
      </c>
      <c r="G41" s="61">
        <v>10000</v>
      </c>
      <c r="H41" s="61">
        <v>10000</v>
      </c>
      <c r="I41" s="17" t="s">
        <v>145</v>
      </c>
      <c r="J41" s="14" t="s">
        <v>146</v>
      </c>
    </row>
    <row r="42" spans="1:10" outlineLevel="1" x14ac:dyDescent="0.25">
      <c r="A42" s="14"/>
      <c r="B42" s="18" t="s">
        <v>147</v>
      </c>
      <c r="C42" s="86"/>
      <c r="D42" s="84">
        <v>655.75</v>
      </c>
      <c r="E42" s="85">
        <v>0</v>
      </c>
      <c r="F42" s="68">
        <f t="shared" si="0"/>
        <v>0</v>
      </c>
      <c r="G42" s="61">
        <v>1000</v>
      </c>
      <c r="H42" s="61">
        <v>1000</v>
      </c>
      <c r="I42" s="17" t="s">
        <v>148</v>
      </c>
      <c r="J42" s="14"/>
    </row>
    <row r="43" spans="1:10" ht="11.25" customHeight="1" outlineLevel="1" x14ac:dyDescent="0.25">
      <c r="A43" s="14" t="s">
        <v>149</v>
      </c>
      <c r="B43" s="18" t="s">
        <v>150</v>
      </c>
      <c r="C43" s="86">
        <v>12258.58</v>
      </c>
      <c r="D43" s="84">
        <v>11880.35</v>
      </c>
      <c r="E43" s="85">
        <v>13664.2</v>
      </c>
      <c r="F43" s="68">
        <f t="shared" si="0"/>
        <v>1.0510923076923078</v>
      </c>
      <c r="G43" s="61">
        <v>13000</v>
      </c>
      <c r="H43" s="61">
        <v>15500</v>
      </c>
      <c r="I43" s="17" t="s">
        <v>151</v>
      </c>
      <c r="J43" s="14" t="s">
        <v>152</v>
      </c>
    </row>
    <row r="44" spans="1:10" ht="14.25" customHeight="1" x14ac:dyDescent="0.3">
      <c r="A44" s="14"/>
      <c r="B44" s="12" t="s">
        <v>153</v>
      </c>
      <c r="C44" s="88">
        <f>SUM(C46:C58)</f>
        <v>147591.57</v>
      </c>
      <c r="D44" s="88">
        <f>D45+D46+D47+D48+D49+D50+D51+D52+D53+D54+D55+D56+D57+D58</f>
        <v>145485.71</v>
      </c>
      <c r="E44" s="85">
        <f>SUM(E45:E58)</f>
        <v>335.18</v>
      </c>
      <c r="F44" s="68">
        <f t="shared" si="0"/>
        <v>0.22345333333333334</v>
      </c>
      <c r="G44" s="61">
        <f t="shared" ref="G44:H44" si="8">SUM(G45:G58)</f>
        <v>1500</v>
      </c>
      <c r="H44" s="61">
        <f t="shared" si="8"/>
        <v>27500</v>
      </c>
      <c r="I44" s="13" t="s">
        <v>154</v>
      </c>
      <c r="J44" s="14"/>
    </row>
    <row r="45" spans="1:10" s="6" customFormat="1" ht="14.25" customHeight="1" x14ac:dyDescent="0.25">
      <c r="A45" s="28"/>
      <c r="B45" s="18" t="s">
        <v>155</v>
      </c>
      <c r="C45" s="86"/>
      <c r="D45" s="84">
        <v>0</v>
      </c>
      <c r="E45" s="85">
        <v>0</v>
      </c>
      <c r="F45" s="68"/>
      <c r="G45" s="61">
        <v>0</v>
      </c>
      <c r="H45" s="48">
        <v>25000</v>
      </c>
      <c r="I45" s="33" t="s">
        <v>156</v>
      </c>
      <c r="J45" s="28"/>
    </row>
    <row r="46" spans="1:10" ht="13.5" customHeight="1" outlineLevel="1" x14ac:dyDescent="0.25">
      <c r="A46" s="14" t="s">
        <v>157</v>
      </c>
      <c r="B46" s="18" t="s">
        <v>158</v>
      </c>
      <c r="C46" s="86">
        <v>229.53</v>
      </c>
      <c r="D46" s="84">
        <v>251.66</v>
      </c>
      <c r="E46" s="85">
        <v>0</v>
      </c>
      <c r="F46" s="68">
        <f>E46/G46</f>
        <v>0</v>
      </c>
      <c r="G46" s="61">
        <v>500</v>
      </c>
      <c r="H46" s="61">
        <v>500</v>
      </c>
      <c r="I46" s="17" t="s">
        <v>159</v>
      </c>
      <c r="J46" s="14" t="s">
        <v>160</v>
      </c>
    </row>
    <row r="47" spans="1:10" ht="25" outlineLevel="1" x14ac:dyDescent="0.25">
      <c r="A47" s="14" t="s">
        <v>161</v>
      </c>
      <c r="B47" s="18" t="s">
        <v>162</v>
      </c>
      <c r="C47" s="86">
        <v>7447.46</v>
      </c>
      <c r="D47" s="84">
        <v>1643.19</v>
      </c>
      <c r="E47" s="85">
        <v>335.18</v>
      </c>
      <c r="F47" s="68">
        <f>E47/G47</f>
        <v>0.33518000000000003</v>
      </c>
      <c r="G47" s="61">
        <v>1000</v>
      </c>
      <c r="H47" s="61">
        <v>2000</v>
      </c>
      <c r="I47" s="17" t="s">
        <v>163</v>
      </c>
      <c r="J47" s="14" t="s">
        <v>164</v>
      </c>
    </row>
    <row r="48" spans="1:10" s="6" customFormat="1" ht="13.5" customHeight="1" outlineLevel="1" x14ac:dyDescent="0.25">
      <c r="A48" s="20" t="s">
        <v>165</v>
      </c>
      <c r="B48" s="18" t="s">
        <v>166</v>
      </c>
      <c r="C48" s="86">
        <v>20640</v>
      </c>
      <c r="D48" s="84">
        <v>20800</v>
      </c>
      <c r="E48" s="85">
        <v>0</v>
      </c>
      <c r="F48" s="68"/>
      <c r="G48" s="61">
        <v>0</v>
      </c>
      <c r="H48" s="61">
        <v>0</v>
      </c>
      <c r="I48" s="17" t="s">
        <v>167</v>
      </c>
      <c r="J48" s="20" t="s">
        <v>168</v>
      </c>
    </row>
    <row r="49" spans="1:10" s="6" customFormat="1" outlineLevel="1" x14ac:dyDescent="0.25">
      <c r="A49" s="20" t="s">
        <v>169</v>
      </c>
      <c r="B49" s="18" t="s">
        <v>170</v>
      </c>
      <c r="C49" s="86">
        <f>4700.11+668-229.53</f>
        <v>5138.58</v>
      </c>
      <c r="D49" s="84">
        <v>0</v>
      </c>
      <c r="E49" s="85">
        <v>0</v>
      </c>
      <c r="F49" s="68"/>
      <c r="G49" s="61">
        <v>0</v>
      </c>
      <c r="H49" s="61">
        <v>0</v>
      </c>
      <c r="I49" s="17" t="s">
        <v>171</v>
      </c>
      <c r="J49" s="20" t="s">
        <v>172</v>
      </c>
    </row>
    <row r="50" spans="1:10" s="6" customFormat="1" ht="13.5" customHeight="1" outlineLevel="1" x14ac:dyDescent="0.25">
      <c r="A50" s="20" t="s">
        <v>165</v>
      </c>
      <c r="B50" s="18" t="s">
        <v>173</v>
      </c>
      <c r="C50" s="86">
        <v>5360</v>
      </c>
      <c r="D50" s="84">
        <v>2703.14</v>
      </c>
      <c r="E50" s="85">
        <v>0</v>
      </c>
      <c r="F50" s="68"/>
      <c r="G50" s="61">
        <v>0</v>
      </c>
      <c r="H50" s="61">
        <v>0</v>
      </c>
      <c r="I50" s="17" t="s">
        <v>174</v>
      </c>
      <c r="J50" s="20" t="s">
        <v>168</v>
      </c>
    </row>
    <row r="51" spans="1:10" s="6" customFormat="1" ht="13.5" customHeight="1" outlineLevel="1" x14ac:dyDescent="0.25">
      <c r="A51" s="20" t="s">
        <v>165</v>
      </c>
      <c r="B51" s="18" t="s">
        <v>175</v>
      </c>
      <c r="C51" s="86">
        <v>0</v>
      </c>
      <c r="D51" s="84">
        <v>5055</v>
      </c>
      <c r="E51" s="85">
        <v>0</v>
      </c>
      <c r="F51" s="68"/>
      <c r="G51" s="61">
        <v>0</v>
      </c>
      <c r="H51" s="61">
        <v>0</v>
      </c>
      <c r="I51" s="17" t="s">
        <v>176</v>
      </c>
      <c r="J51" s="20" t="s">
        <v>168</v>
      </c>
    </row>
    <row r="52" spans="1:10" s="6" customFormat="1" ht="13.5" customHeight="1" outlineLevel="1" x14ac:dyDescent="0.25">
      <c r="A52" s="20" t="s">
        <v>165</v>
      </c>
      <c r="B52" s="18" t="s">
        <v>177</v>
      </c>
      <c r="C52" s="86">
        <v>7200</v>
      </c>
      <c r="D52" s="84">
        <v>7900</v>
      </c>
      <c r="E52" s="85">
        <v>0</v>
      </c>
      <c r="F52" s="68"/>
      <c r="G52" s="61">
        <v>0</v>
      </c>
      <c r="H52" s="61">
        <v>0</v>
      </c>
      <c r="I52" s="17" t="s">
        <v>178</v>
      </c>
      <c r="J52" s="20" t="s">
        <v>168</v>
      </c>
    </row>
    <row r="53" spans="1:10" s="6" customFormat="1" ht="13.5" customHeight="1" outlineLevel="1" x14ac:dyDescent="0.25">
      <c r="A53" s="20" t="s">
        <v>165</v>
      </c>
      <c r="B53" s="18" t="s">
        <v>179</v>
      </c>
      <c r="C53" s="86">
        <v>32560</v>
      </c>
      <c r="D53" s="84">
        <v>33200</v>
      </c>
      <c r="E53" s="85">
        <v>0</v>
      </c>
      <c r="F53" s="68"/>
      <c r="G53" s="61">
        <v>0</v>
      </c>
      <c r="H53" s="61">
        <v>0</v>
      </c>
      <c r="I53" s="17" t="s">
        <v>180</v>
      </c>
      <c r="J53" s="20" t="s">
        <v>168</v>
      </c>
    </row>
    <row r="54" spans="1:10" s="6" customFormat="1" ht="13.5" customHeight="1" outlineLevel="1" x14ac:dyDescent="0.25">
      <c r="A54" s="20" t="s">
        <v>165</v>
      </c>
      <c r="B54" s="18" t="s">
        <v>181</v>
      </c>
      <c r="C54" s="86">
        <v>16800</v>
      </c>
      <c r="D54" s="84">
        <v>16400</v>
      </c>
      <c r="E54" s="85">
        <v>0</v>
      </c>
      <c r="F54" s="68"/>
      <c r="G54" s="61">
        <v>0</v>
      </c>
      <c r="H54" s="61">
        <v>0</v>
      </c>
      <c r="I54" s="17" t="s">
        <v>182</v>
      </c>
      <c r="J54" s="20" t="s">
        <v>168</v>
      </c>
    </row>
    <row r="55" spans="1:10" s="6" customFormat="1" ht="13.5" customHeight="1" outlineLevel="1" x14ac:dyDescent="0.25">
      <c r="A55" s="20" t="s">
        <v>165</v>
      </c>
      <c r="B55" s="18" t="s">
        <v>183</v>
      </c>
      <c r="C55" s="86">
        <v>20256</v>
      </c>
      <c r="D55" s="84">
        <v>20160</v>
      </c>
      <c r="E55" s="85">
        <v>0</v>
      </c>
      <c r="F55" s="68"/>
      <c r="G55" s="61">
        <v>0</v>
      </c>
      <c r="H55" s="61">
        <v>0</v>
      </c>
      <c r="I55" s="17" t="s">
        <v>184</v>
      </c>
      <c r="J55" s="20" t="s">
        <v>168</v>
      </c>
    </row>
    <row r="56" spans="1:10" s="6" customFormat="1" ht="13.5" customHeight="1" outlineLevel="1" x14ac:dyDescent="0.25">
      <c r="A56" s="20" t="s">
        <v>165</v>
      </c>
      <c r="B56" s="18" t="s">
        <v>185</v>
      </c>
      <c r="C56" s="86">
        <v>22800</v>
      </c>
      <c r="D56" s="84">
        <v>18400</v>
      </c>
      <c r="E56" s="85">
        <v>0</v>
      </c>
      <c r="F56" s="68"/>
      <c r="G56" s="61">
        <v>0</v>
      </c>
      <c r="H56" s="61">
        <v>0</v>
      </c>
      <c r="I56" s="17" t="s">
        <v>186</v>
      </c>
      <c r="J56" s="20" t="s">
        <v>168</v>
      </c>
    </row>
    <row r="57" spans="1:10" s="6" customFormat="1" ht="13.5" customHeight="1" outlineLevel="1" x14ac:dyDescent="0.25">
      <c r="A57" s="20" t="s">
        <v>165</v>
      </c>
      <c r="B57" s="18" t="s">
        <v>187</v>
      </c>
      <c r="C57" s="86">
        <v>0</v>
      </c>
      <c r="D57" s="84">
        <v>10238.15</v>
      </c>
      <c r="E57" s="85">
        <v>0</v>
      </c>
      <c r="F57" s="68"/>
      <c r="G57" s="61">
        <v>0</v>
      </c>
      <c r="H57" s="61">
        <v>0</v>
      </c>
      <c r="I57" s="17" t="s">
        <v>188</v>
      </c>
      <c r="J57" s="20" t="s">
        <v>168</v>
      </c>
    </row>
    <row r="58" spans="1:10" s="6" customFormat="1" ht="13.5" customHeight="1" outlineLevel="1" x14ac:dyDescent="0.25">
      <c r="A58" s="20" t="s">
        <v>165</v>
      </c>
      <c r="B58" s="18" t="s">
        <v>189</v>
      </c>
      <c r="C58" s="86">
        <v>9160</v>
      </c>
      <c r="D58" s="84">
        <v>8734.57</v>
      </c>
      <c r="E58" s="85">
        <v>0</v>
      </c>
      <c r="F58" s="68"/>
      <c r="G58" s="61">
        <v>0</v>
      </c>
      <c r="H58" s="61">
        <v>0</v>
      </c>
      <c r="I58" s="17" t="s">
        <v>190</v>
      </c>
      <c r="J58" s="20" t="s">
        <v>168</v>
      </c>
    </row>
    <row r="59" spans="1:10" s="6" customFormat="1" ht="30" customHeight="1" x14ac:dyDescent="0.3">
      <c r="A59" s="20" t="s">
        <v>191</v>
      </c>
      <c r="B59" s="12" t="s">
        <v>192</v>
      </c>
      <c r="C59" s="86">
        <f>22380.8+39713.38+12162.44*3</f>
        <v>98581.5</v>
      </c>
      <c r="D59" s="84">
        <f>20028.81+35.66+72203.44</f>
        <v>92267.91</v>
      </c>
      <c r="E59" s="85">
        <f>254.8+116339.48</f>
        <v>116594.28</v>
      </c>
      <c r="F59" s="68">
        <f>E59/G59</f>
        <v>0.8580364278617949</v>
      </c>
      <c r="G59" s="61">
        <f>133885+2000</f>
        <v>135885</v>
      </c>
      <c r="H59" s="61">
        <f>133885+2000</f>
        <v>135885</v>
      </c>
      <c r="I59" s="13" t="s">
        <v>193</v>
      </c>
      <c r="J59" s="20" t="s">
        <v>194</v>
      </c>
    </row>
    <row r="60" spans="1:10" s="6" customFormat="1" ht="13" x14ac:dyDescent="0.3">
      <c r="A60" s="28"/>
      <c r="B60" s="12" t="s">
        <v>863</v>
      </c>
      <c r="C60" s="89"/>
      <c r="D60" s="84">
        <v>1760.83</v>
      </c>
      <c r="E60" s="85">
        <f>2266.58+1516.87</f>
        <v>3783.45</v>
      </c>
      <c r="F60" s="68">
        <f>E60/G60</f>
        <v>0.21019166666666667</v>
      </c>
      <c r="G60" s="61">
        <v>18000</v>
      </c>
      <c r="H60" s="61">
        <v>18000</v>
      </c>
      <c r="I60" s="13" t="s">
        <v>195</v>
      </c>
      <c r="J60" s="20"/>
    </row>
    <row r="61" spans="1:10" s="6" customFormat="1" ht="25" x14ac:dyDescent="0.25">
      <c r="A61" s="20" t="s">
        <v>196</v>
      </c>
      <c r="B61" s="20" t="s">
        <v>197</v>
      </c>
      <c r="C61" s="86"/>
      <c r="D61" s="84">
        <v>12572.33</v>
      </c>
      <c r="E61" s="87"/>
      <c r="F61" s="68"/>
      <c r="G61" s="61"/>
      <c r="H61" s="61">
        <v>0</v>
      </c>
      <c r="I61" s="33" t="s">
        <v>198</v>
      </c>
      <c r="J61" s="20" t="s">
        <v>199</v>
      </c>
    </row>
    <row r="62" spans="1:10" s="6" customFormat="1" ht="13.5" customHeight="1" x14ac:dyDescent="0.25">
      <c r="A62" s="20" t="s">
        <v>200</v>
      </c>
      <c r="B62" s="20" t="s">
        <v>201</v>
      </c>
      <c r="C62" s="86"/>
      <c r="D62" s="84">
        <v>12572.33</v>
      </c>
      <c r="E62" s="87"/>
      <c r="F62" s="68"/>
      <c r="G62" s="61"/>
      <c r="H62" s="61">
        <v>0</v>
      </c>
      <c r="I62" s="33" t="s">
        <v>202</v>
      </c>
      <c r="J62" s="20" t="s">
        <v>203</v>
      </c>
    </row>
    <row r="63" spans="1:10" s="6" customFormat="1" ht="12" customHeight="1" x14ac:dyDescent="0.25">
      <c r="A63" s="20" t="s">
        <v>204</v>
      </c>
      <c r="B63" s="20" t="s">
        <v>205</v>
      </c>
      <c r="C63" s="86"/>
      <c r="D63" s="84">
        <v>12372.33</v>
      </c>
      <c r="E63" s="87"/>
      <c r="F63" s="68"/>
      <c r="G63" s="61"/>
      <c r="H63" s="61">
        <v>0</v>
      </c>
      <c r="I63" s="33" t="s">
        <v>206</v>
      </c>
      <c r="J63" s="20" t="s">
        <v>207</v>
      </c>
    </row>
    <row r="64" spans="1:10" s="6" customFormat="1" ht="13" x14ac:dyDescent="0.3">
      <c r="A64" s="20"/>
      <c r="B64" s="12" t="s">
        <v>208</v>
      </c>
      <c r="C64" s="86">
        <f>SUM(C65:C71)</f>
        <v>10207.600000000002</v>
      </c>
      <c r="D64" s="83">
        <f>D65+D66+D67+D68+D69+D70+D71</f>
        <v>18869.560000000001</v>
      </c>
      <c r="E64" s="85">
        <f>E65+E66+E67+E68+E69+E70+E71</f>
        <v>16131.43</v>
      </c>
      <c r="F64" s="68">
        <f>E64/G64</f>
        <v>1.3442858333333334</v>
      </c>
      <c r="G64" s="61">
        <f>G65+G66+G67+G68+G69+G70+G71</f>
        <v>12000</v>
      </c>
      <c r="H64" s="61">
        <f>H65+H66+H67+H68+H69+H70+H71</f>
        <v>25000</v>
      </c>
      <c r="I64" s="13" t="s">
        <v>209</v>
      </c>
      <c r="J64" s="20"/>
    </row>
    <row r="65" spans="1:10" s="6" customFormat="1" ht="25" hidden="1" outlineLevel="1" x14ac:dyDescent="0.25">
      <c r="A65" s="20" t="s">
        <v>210</v>
      </c>
      <c r="B65" s="20" t="s">
        <v>211</v>
      </c>
      <c r="C65" s="86">
        <f>8051.95+412.15</f>
        <v>8464.1</v>
      </c>
      <c r="D65" s="84">
        <v>11022.26</v>
      </c>
      <c r="E65" s="85">
        <v>244.02</v>
      </c>
      <c r="F65" s="68">
        <f>E65/G65</f>
        <v>4.8804E-2</v>
      </c>
      <c r="G65" s="61">
        <v>5000</v>
      </c>
      <c r="H65" s="61">
        <v>7000</v>
      </c>
      <c r="I65" s="17" t="s">
        <v>212</v>
      </c>
      <c r="J65" s="20" t="s">
        <v>213</v>
      </c>
    </row>
    <row r="66" spans="1:10" s="6" customFormat="1" hidden="1" outlineLevel="1" x14ac:dyDescent="0.25">
      <c r="A66" s="20"/>
      <c r="B66" s="20" t="s">
        <v>214</v>
      </c>
      <c r="C66" s="86">
        <v>0</v>
      </c>
      <c r="D66" s="84">
        <v>0</v>
      </c>
      <c r="E66" s="85">
        <v>0</v>
      </c>
      <c r="F66" s="68">
        <f>E66/G66</f>
        <v>0</v>
      </c>
      <c r="G66" s="61">
        <v>1000</v>
      </c>
      <c r="H66" s="61">
        <v>1000</v>
      </c>
      <c r="I66" s="17" t="s">
        <v>215</v>
      </c>
      <c r="J66" s="20"/>
    </row>
    <row r="67" spans="1:10" s="6" customFormat="1" hidden="1" outlineLevel="1" x14ac:dyDescent="0.25">
      <c r="A67" s="20" t="s">
        <v>216</v>
      </c>
      <c r="B67" s="20" t="s">
        <v>217</v>
      </c>
      <c r="C67" s="86">
        <v>89.17</v>
      </c>
      <c r="D67" s="84">
        <v>0</v>
      </c>
      <c r="E67" s="85">
        <v>0</v>
      </c>
      <c r="F67" s="68"/>
      <c r="G67" s="61">
        <v>0</v>
      </c>
      <c r="H67" s="61">
        <v>0</v>
      </c>
      <c r="I67" s="17" t="s">
        <v>218</v>
      </c>
      <c r="J67" s="20" t="s">
        <v>219</v>
      </c>
    </row>
    <row r="68" spans="1:10" s="6" customFormat="1" hidden="1" outlineLevel="1" x14ac:dyDescent="0.25">
      <c r="A68" s="20"/>
      <c r="B68" s="20" t="s">
        <v>220</v>
      </c>
      <c r="C68" s="86">
        <v>0</v>
      </c>
      <c r="D68" s="84">
        <v>0</v>
      </c>
      <c r="E68" s="85">
        <v>90</v>
      </c>
      <c r="F68" s="68">
        <f>E68/G68</f>
        <v>0.09</v>
      </c>
      <c r="G68" s="61">
        <v>1000</v>
      </c>
      <c r="H68" s="61">
        <v>500</v>
      </c>
      <c r="I68" s="17" t="s">
        <v>221</v>
      </c>
      <c r="J68" s="20"/>
    </row>
    <row r="69" spans="1:10" s="6" customFormat="1" ht="12.65" hidden="1" customHeight="1" outlineLevel="1" x14ac:dyDescent="0.25">
      <c r="A69" s="20" t="s">
        <v>222</v>
      </c>
      <c r="B69" s="20" t="s">
        <v>223</v>
      </c>
      <c r="C69" s="86">
        <f>9706.28-8051.95</f>
        <v>1654.3300000000008</v>
      </c>
      <c r="D69" s="84">
        <v>7080.3</v>
      </c>
      <c r="E69" s="85">
        <v>15797.41</v>
      </c>
      <c r="F69" s="68">
        <f>E69/G69</f>
        <v>3.1594820000000001</v>
      </c>
      <c r="G69" s="61">
        <v>5000</v>
      </c>
      <c r="H69" s="61">
        <v>16500</v>
      </c>
      <c r="I69" s="17" t="s">
        <v>224</v>
      </c>
      <c r="J69" s="20" t="s">
        <v>225</v>
      </c>
    </row>
    <row r="70" spans="1:10" s="6" customFormat="1" ht="15.5" hidden="1" customHeight="1" outlineLevel="1" x14ac:dyDescent="0.25">
      <c r="A70" s="28" t="s">
        <v>226</v>
      </c>
      <c r="B70" s="20" t="s">
        <v>227</v>
      </c>
      <c r="C70" s="86">
        <v>0</v>
      </c>
      <c r="D70" s="84"/>
      <c r="E70" s="87"/>
      <c r="F70" s="68"/>
      <c r="G70" s="61">
        <v>0</v>
      </c>
      <c r="H70" s="61">
        <v>0</v>
      </c>
      <c r="I70" s="17" t="s">
        <v>228</v>
      </c>
      <c r="J70" s="20" t="s">
        <v>229</v>
      </c>
    </row>
    <row r="71" spans="1:10" s="6" customFormat="1" ht="28.5" hidden="1" customHeight="1" outlineLevel="1" x14ac:dyDescent="0.25">
      <c r="A71" s="20" t="s">
        <v>230</v>
      </c>
      <c r="B71" s="20" t="s">
        <v>231</v>
      </c>
      <c r="C71" s="86">
        <v>0</v>
      </c>
      <c r="D71" s="84">
        <v>767</v>
      </c>
      <c r="E71" s="85">
        <v>0</v>
      </c>
      <c r="F71" s="68"/>
      <c r="G71" s="61">
        <v>0</v>
      </c>
      <c r="H71" s="61">
        <v>0</v>
      </c>
      <c r="I71" s="17" t="s">
        <v>232</v>
      </c>
      <c r="J71" s="20" t="s">
        <v>233</v>
      </c>
    </row>
    <row r="72" spans="1:10" ht="13.5" customHeight="1" collapsed="1" x14ac:dyDescent="0.3">
      <c r="A72" s="14"/>
      <c r="B72" s="12" t="s">
        <v>234</v>
      </c>
      <c r="C72" s="86">
        <f>SUM(C73:C75)</f>
        <v>360185.92000000004</v>
      </c>
      <c r="D72" s="86">
        <f>D73+D74+D75</f>
        <v>364095.14</v>
      </c>
      <c r="E72" s="85">
        <f>E73+E74+E75</f>
        <v>322087.88</v>
      </c>
      <c r="F72" s="68">
        <f t="shared" ref="F72:F91" si="9">E72/G72</f>
        <v>0.85434450928381966</v>
      </c>
      <c r="G72" s="61">
        <f t="shared" ref="G72:H72" si="10">G73+G74+G75</f>
        <v>377000</v>
      </c>
      <c r="H72" s="61">
        <f t="shared" si="10"/>
        <v>365719</v>
      </c>
      <c r="I72" s="21" t="s">
        <v>235</v>
      </c>
      <c r="J72" s="20"/>
    </row>
    <row r="73" spans="1:10" outlineLevel="1" x14ac:dyDescent="0.25">
      <c r="A73" s="14" t="s">
        <v>236</v>
      </c>
      <c r="B73" s="22" t="s">
        <v>237</v>
      </c>
      <c r="C73" s="86">
        <v>126370</v>
      </c>
      <c r="D73" s="84">
        <v>129848.86</v>
      </c>
      <c r="E73" s="85">
        <v>110293.64</v>
      </c>
      <c r="F73" s="68">
        <f t="shared" si="9"/>
        <v>0.8169899259259259</v>
      </c>
      <c r="G73" s="61">
        <v>135000</v>
      </c>
      <c r="H73" s="61">
        <v>125000</v>
      </c>
      <c r="I73" s="17" t="s">
        <v>238</v>
      </c>
      <c r="J73" s="20" t="s">
        <v>239</v>
      </c>
    </row>
    <row r="74" spans="1:10" ht="25" outlineLevel="1" x14ac:dyDescent="0.25">
      <c r="A74" s="14" t="s">
        <v>240</v>
      </c>
      <c r="B74" s="22" t="s">
        <v>241</v>
      </c>
      <c r="C74" s="86">
        <v>186206.91</v>
      </c>
      <c r="D74" s="84">
        <v>189027.85</v>
      </c>
      <c r="E74" s="85">
        <v>159156.12</v>
      </c>
      <c r="F74" s="68">
        <f t="shared" si="9"/>
        <v>0.81618523076923077</v>
      </c>
      <c r="G74" s="61">
        <v>195000</v>
      </c>
      <c r="H74" s="61">
        <v>190000</v>
      </c>
      <c r="I74" s="17" t="s">
        <v>242</v>
      </c>
      <c r="J74" s="20" t="s">
        <v>243</v>
      </c>
    </row>
    <row r="75" spans="1:10" ht="25" outlineLevel="1" x14ac:dyDescent="0.25">
      <c r="A75" s="14" t="s">
        <v>244</v>
      </c>
      <c r="B75" s="22" t="s">
        <v>245</v>
      </c>
      <c r="C75" s="86">
        <v>47609.01</v>
      </c>
      <c r="D75" s="84">
        <v>45218.43</v>
      </c>
      <c r="E75" s="85">
        <v>52638.12</v>
      </c>
      <c r="F75" s="68">
        <f t="shared" si="9"/>
        <v>1.1199600000000001</v>
      </c>
      <c r="G75" s="61">
        <v>47000</v>
      </c>
      <c r="H75" s="61">
        <v>50719</v>
      </c>
      <c r="I75" s="17" t="s">
        <v>246</v>
      </c>
      <c r="J75" s="20" t="s">
        <v>247</v>
      </c>
    </row>
    <row r="76" spans="1:10" s="6" customFormat="1" ht="26" thickBot="1" x14ac:dyDescent="0.35">
      <c r="A76" s="20" t="s">
        <v>248</v>
      </c>
      <c r="B76" s="12" t="s">
        <v>249</v>
      </c>
      <c r="C76" s="86">
        <v>210924.68</v>
      </c>
      <c r="D76" s="84">
        <v>235837.81</v>
      </c>
      <c r="E76" s="90">
        <v>238720.81</v>
      </c>
      <c r="F76" s="68">
        <f t="shared" si="9"/>
        <v>0.92568706981794213</v>
      </c>
      <c r="G76" s="61">
        <v>257885</v>
      </c>
      <c r="H76" s="61">
        <v>245822</v>
      </c>
      <c r="I76" s="17" t="s">
        <v>250</v>
      </c>
      <c r="J76" s="20" t="s">
        <v>251</v>
      </c>
    </row>
    <row r="77" spans="1:10" s="1" customFormat="1" ht="16.5" thickTop="1" thickBot="1" x14ac:dyDescent="0.4">
      <c r="A77" s="24"/>
      <c r="B77" s="23" t="s">
        <v>252</v>
      </c>
      <c r="C77" s="91">
        <f>C76+C72+C64+C63+C62+C61+C59+C44+C2</f>
        <v>1616509.01</v>
      </c>
      <c r="D77" s="92">
        <f>D76+D72+D64+D63+D62+D61+D60+D59+D44+D2</f>
        <v>1618417.1199999996</v>
      </c>
      <c r="E77" s="92">
        <f>E76+E72+E64+E63+E62+E61+E60+E59+E44+E2</f>
        <v>1392357.81</v>
      </c>
      <c r="F77" s="78">
        <f t="shared" si="9"/>
        <v>0.88005828255758101</v>
      </c>
      <c r="G77" s="49">
        <f>G76+G72+G64+G63+G62+G61+G60+G59+G44+G2</f>
        <v>1582120</v>
      </c>
      <c r="H77" s="49">
        <f>H76+H72+H64+H63+H62+H61+H60+H59+H44+H2</f>
        <v>1594377</v>
      </c>
      <c r="I77" s="24" t="s">
        <v>253</v>
      </c>
      <c r="J77" s="24"/>
    </row>
    <row r="78" spans="1:10" ht="13" x14ac:dyDescent="0.3">
      <c r="A78" s="14"/>
      <c r="B78" s="12" t="s">
        <v>254</v>
      </c>
      <c r="C78" s="86">
        <f>C79+C80+C81+C89+C90</f>
        <v>100282.41</v>
      </c>
      <c r="D78" s="84">
        <f>D79+D80+D81+D88+D89+D90</f>
        <v>100438.15000000001</v>
      </c>
      <c r="E78" s="85">
        <f>E79+E80+E81+E88+E89+E90</f>
        <v>103838.79999999999</v>
      </c>
      <c r="F78" s="68">
        <f t="shared" si="9"/>
        <v>0.84766367346938765</v>
      </c>
      <c r="G78" s="61">
        <f>G79+G80+G81+G89+G90</f>
        <v>122500</v>
      </c>
      <c r="H78" s="61">
        <f>H79+H80+H81+H89+H90</f>
        <v>99763</v>
      </c>
      <c r="I78" s="21" t="s">
        <v>255</v>
      </c>
      <c r="J78" s="14"/>
    </row>
    <row r="79" spans="1:10" ht="13" outlineLevel="1" x14ac:dyDescent="0.3">
      <c r="A79" s="40" t="s">
        <v>256</v>
      </c>
      <c r="B79" s="18" t="s">
        <v>257</v>
      </c>
      <c r="C79" s="86">
        <f>36785.69-25000</f>
        <v>11785.690000000002</v>
      </c>
      <c r="D79" s="84">
        <f>8658.07+333</f>
        <v>8991.07</v>
      </c>
      <c r="E79" s="85">
        <v>13074.78</v>
      </c>
      <c r="F79" s="68">
        <f t="shared" si="9"/>
        <v>0.62260857142857151</v>
      </c>
      <c r="G79" s="61">
        <v>21000</v>
      </c>
      <c r="H79" s="61">
        <v>21000</v>
      </c>
      <c r="I79" s="17" t="s">
        <v>258</v>
      </c>
      <c r="J79" s="40" t="s">
        <v>259</v>
      </c>
    </row>
    <row r="80" spans="1:10" ht="26" outlineLevel="1" x14ac:dyDescent="0.3">
      <c r="A80" s="40" t="s">
        <v>260</v>
      </c>
      <c r="B80" s="18" t="s">
        <v>261</v>
      </c>
      <c r="C80" s="86">
        <v>7739.01</v>
      </c>
      <c r="D80" s="84">
        <v>4643.25</v>
      </c>
      <c r="E80" s="85">
        <v>2652.67</v>
      </c>
      <c r="F80" s="68">
        <f t="shared" si="9"/>
        <v>0.75790571428571429</v>
      </c>
      <c r="G80" s="61">
        <v>3500</v>
      </c>
      <c r="H80" s="61">
        <v>3000</v>
      </c>
      <c r="I80" s="17" t="s">
        <v>262</v>
      </c>
      <c r="J80" s="40" t="s">
        <v>263</v>
      </c>
    </row>
    <row r="81" spans="1:10" ht="12" customHeight="1" outlineLevel="1" x14ac:dyDescent="0.3">
      <c r="A81" s="40" t="s">
        <v>264</v>
      </c>
      <c r="B81" s="12" t="s">
        <v>265</v>
      </c>
      <c r="C81" s="86">
        <f>C82+C83+C84+C85+C86+C87</f>
        <v>78431.31</v>
      </c>
      <c r="D81" s="84">
        <f>SUM(D86:D87)</f>
        <v>83407</v>
      </c>
      <c r="E81" s="85">
        <f>SUM(E86:E87)</f>
        <v>84729.51</v>
      </c>
      <c r="F81" s="68">
        <f t="shared" si="9"/>
        <v>0.91106999999999994</v>
      </c>
      <c r="G81" s="61">
        <f>SUM(G86:G87:G88)</f>
        <v>93000</v>
      </c>
      <c r="H81" s="61">
        <v>70763</v>
      </c>
      <c r="I81" s="21" t="s">
        <v>266</v>
      </c>
      <c r="J81" s="40" t="s">
        <v>267</v>
      </c>
    </row>
    <row r="82" spans="1:10" ht="13" hidden="1" outlineLevel="1" x14ac:dyDescent="0.3">
      <c r="A82" s="40"/>
      <c r="B82" s="57" t="s">
        <v>268</v>
      </c>
      <c r="C82" s="86">
        <v>0</v>
      </c>
      <c r="D82" s="84"/>
      <c r="E82" s="87"/>
      <c r="F82" s="68" t="e">
        <f t="shared" si="9"/>
        <v>#DIV/0!</v>
      </c>
      <c r="G82" s="61"/>
      <c r="H82" s="61"/>
      <c r="I82" s="17" t="s">
        <v>269</v>
      </c>
      <c r="J82" s="40"/>
    </row>
    <row r="83" spans="1:10" ht="13" hidden="1" outlineLevel="1" x14ac:dyDescent="0.3">
      <c r="A83" s="40"/>
      <c r="B83" s="57" t="s">
        <v>270</v>
      </c>
      <c r="C83" s="86">
        <v>0</v>
      </c>
      <c r="D83" s="84"/>
      <c r="E83" s="87"/>
      <c r="F83" s="68" t="e">
        <f t="shared" si="9"/>
        <v>#DIV/0!</v>
      </c>
      <c r="G83" s="61"/>
      <c r="H83" s="61"/>
      <c r="I83" s="17" t="s">
        <v>271</v>
      </c>
      <c r="J83" s="40"/>
    </row>
    <row r="84" spans="1:10" ht="13" hidden="1" outlineLevel="1" x14ac:dyDescent="0.3">
      <c r="A84" s="40"/>
      <c r="B84" s="57" t="s">
        <v>272</v>
      </c>
      <c r="C84" s="86">
        <v>0</v>
      </c>
      <c r="D84" s="84"/>
      <c r="E84" s="87"/>
      <c r="F84" s="68" t="e">
        <f t="shared" si="9"/>
        <v>#DIV/0!</v>
      </c>
      <c r="G84" s="61"/>
      <c r="H84" s="61"/>
      <c r="I84" s="17" t="s">
        <v>273</v>
      </c>
      <c r="J84" s="40"/>
    </row>
    <row r="85" spans="1:10" ht="13" hidden="1" outlineLevel="1" x14ac:dyDescent="0.3">
      <c r="A85" s="40"/>
      <c r="B85" s="57" t="s">
        <v>274</v>
      </c>
      <c r="C85" s="86">
        <v>0</v>
      </c>
      <c r="D85" s="84"/>
      <c r="E85" s="87"/>
      <c r="F85" s="68" t="e">
        <f t="shared" si="9"/>
        <v>#DIV/0!</v>
      </c>
      <c r="G85" s="61"/>
      <c r="H85" s="61"/>
      <c r="I85" s="17" t="s">
        <v>275</v>
      </c>
      <c r="J85" s="40"/>
    </row>
    <row r="86" spans="1:10" ht="13" outlineLevel="1" x14ac:dyDescent="0.3">
      <c r="A86" s="40"/>
      <c r="B86" s="18" t="s">
        <v>276</v>
      </c>
      <c r="C86" s="86">
        <v>56431.96</v>
      </c>
      <c r="D86" s="84">
        <f>61862.22-387.2-3083.08</f>
        <v>58391.94</v>
      </c>
      <c r="E86" s="85">
        <v>56055.57</v>
      </c>
      <c r="F86" s="68">
        <f t="shared" si="9"/>
        <v>1.0009923214285714</v>
      </c>
      <c r="G86" s="61">
        <v>56000</v>
      </c>
      <c r="H86" s="61">
        <v>60000</v>
      </c>
      <c r="I86" s="17"/>
      <c r="J86" s="40"/>
    </row>
    <row r="87" spans="1:10" ht="13" outlineLevel="1" x14ac:dyDescent="0.3">
      <c r="A87" s="40"/>
      <c r="B87" s="18" t="s">
        <v>277</v>
      </c>
      <c r="C87" s="86">
        <v>21999.35</v>
      </c>
      <c r="D87" s="84">
        <f>24627.86+387.2</f>
        <v>25015.06</v>
      </c>
      <c r="E87" s="85">
        <v>28673.94</v>
      </c>
      <c r="F87" s="68">
        <f t="shared" si="9"/>
        <v>0.84335117647058822</v>
      </c>
      <c r="G87" s="61">
        <v>34000</v>
      </c>
      <c r="H87" s="61">
        <v>32000</v>
      </c>
      <c r="I87" s="17"/>
      <c r="J87" s="40"/>
    </row>
    <row r="88" spans="1:10" ht="13" outlineLevel="1" x14ac:dyDescent="0.3">
      <c r="A88" s="40"/>
      <c r="B88" s="18" t="s">
        <v>278</v>
      </c>
      <c r="C88" s="86"/>
      <c r="D88" s="84">
        <v>3083.08</v>
      </c>
      <c r="E88" s="85">
        <v>1179.75</v>
      </c>
      <c r="F88" s="68">
        <f t="shared" si="9"/>
        <v>0.39324999999999999</v>
      </c>
      <c r="G88" s="61">
        <v>3000</v>
      </c>
      <c r="H88" s="61">
        <v>2351</v>
      </c>
      <c r="I88" s="17" t="s">
        <v>279</v>
      </c>
      <c r="J88" s="40"/>
    </row>
    <row r="89" spans="1:10" ht="12.65" customHeight="1" outlineLevel="1" x14ac:dyDescent="0.3">
      <c r="A89" s="40" t="s">
        <v>280</v>
      </c>
      <c r="B89" s="18" t="s">
        <v>281</v>
      </c>
      <c r="C89" s="86">
        <v>2326.4</v>
      </c>
      <c r="D89" s="84">
        <v>313.75</v>
      </c>
      <c r="E89" s="85">
        <v>2202.09</v>
      </c>
      <c r="F89" s="68">
        <f t="shared" si="9"/>
        <v>0.44041800000000003</v>
      </c>
      <c r="G89" s="61">
        <v>5000</v>
      </c>
      <c r="H89" s="61">
        <v>5000</v>
      </c>
      <c r="I89" s="17" t="s">
        <v>282</v>
      </c>
      <c r="J89" s="40" t="s">
        <v>283</v>
      </c>
    </row>
    <row r="90" spans="1:10" ht="15" hidden="1" customHeight="1" outlineLevel="1" x14ac:dyDescent="0.3">
      <c r="A90" s="40"/>
      <c r="B90" s="18"/>
      <c r="C90" s="86"/>
      <c r="D90" s="84"/>
      <c r="E90" s="87"/>
      <c r="F90" s="68"/>
      <c r="G90" s="61"/>
      <c r="H90" s="61"/>
      <c r="I90" s="15"/>
      <c r="J90" s="40"/>
    </row>
    <row r="91" spans="1:10" s="6" customFormat="1" ht="13" x14ac:dyDescent="0.3">
      <c r="A91" s="62"/>
      <c r="B91" s="12" t="s">
        <v>868</v>
      </c>
      <c r="C91" s="86">
        <f>SUM(C93:C99)</f>
        <v>1092273.18</v>
      </c>
      <c r="D91" s="84">
        <f>D93+D94+D95+D96+D98+D99</f>
        <v>1177331.49</v>
      </c>
      <c r="E91" s="85">
        <f>E92+E99</f>
        <v>1197745.74</v>
      </c>
      <c r="F91" s="68">
        <f t="shared" si="9"/>
        <v>0.96929227452494193</v>
      </c>
      <c r="G91" s="61">
        <f>G92+G99</f>
        <v>1235691</v>
      </c>
      <c r="H91" s="61">
        <f>H92+H99</f>
        <v>1298554</v>
      </c>
      <c r="I91" s="21" t="s">
        <v>284</v>
      </c>
      <c r="J91" s="62"/>
    </row>
    <row r="92" spans="1:10" s="6" customFormat="1" ht="13" x14ac:dyDescent="0.3">
      <c r="A92" s="62"/>
      <c r="B92" s="12" t="s">
        <v>285</v>
      </c>
      <c r="C92" s="86"/>
      <c r="D92" s="84"/>
      <c r="E92" s="85">
        <f>E93+E94+E95+E96+E98</f>
        <v>1103366.22</v>
      </c>
      <c r="F92" s="68"/>
      <c r="G92" s="61">
        <f>G93+G94+G95+G96+G97+G98</f>
        <v>1123561</v>
      </c>
      <c r="H92" s="61">
        <f>H93+H94+H95+H96+H97+H98</f>
        <v>1280204</v>
      </c>
      <c r="I92" s="21"/>
      <c r="J92" s="62"/>
    </row>
    <row r="93" spans="1:10" ht="13" outlineLevel="1" x14ac:dyDescent="0.3">
      <c r="A93" s="40" t="s">
        <v>286</v>
      </c>
      <c r="B93" s="18" t="s">
        <v>287</v>
      </c>
      <c r="C93" s="86">
        <v>854040.41</v>
      </c>
      <c r="D93" s="84">
        <f>923580.5-8128.37-798.59</f>
        <v>914653.54</v>
      </c>
      <c r="E93" s="85">
        <f>881926.43-4446.77</f>
        <v>877479.66</v>
      </c>
      <c r="F93" s="68">
        <f>E93/G93</f>
        <v>1.035093319807014</v>
      </c>
      <c r="G93" s="61">
        <f>919876+197854-270000</f>
        <v>847730</v>
      </c>
      <c r="H93" s="61">
        <v>970052</v>
      </c>
      <c r="I93" s="17" t="s">
        <v>288</v>
      </c>
      <c r="J93" s="40" t="s">
        <v>289</v>
      </c>
    </row>
    <row r="94" spans="1:10" ht="13" outlineLevel="1" x14ac:dyDescent="0.3">
      <c r="A94" s="40"/>
      <c r="B94" s="18" t="s">
        <v>290</v>
      </c>
      <c r="C94" s="86">
        <v>140655.82</v>
      </c>
      <c r="D94" s="84">
        <v>133313.48000000001</v>
      </c>
      <c r="E94" s="85">
        <v>142623.71</v>
      </c>
      <c r="F94" s="68">
        <f>E94/G94</f>
        <v>0.90058983247772573</v>
      </c>
      <c r="G94" s="61">
        <f>130882+27485</f>
        <v>158367</v>
      </c>
      <c r="H94" s="61">
        <f>113681+23873</f>
        <v>137554</v>
      </c>
      <c r="I94" s="17" t="s">
        <v>291</v>
      </c>
      <c r="J94" s="40"/>
    </row>
    <row r="95" spans="1:10" ht="13" outlineLevel="1" x14ac:dyDescent="0.3">
      <c r="A95" s="40"/>
      <c r="B95" s="18" t="s">
        <v>292</v>
      </c>
      <c r="C95" s="86">
        <v>19200.89</v>
      </c>
      <c r="D95" s="84">
        <v>20544.43</v>
      </c>
      <c r="E95" s="85">
        <v>21034.01</v>
      </c>
      <c r="F95" s="68">
        <f>E95/G95</f>
        <v>0.8585310204081632</v>
      </c>
      <c r="G95" s="61">
        <v>24500</v>
      </c>
      <c r="H95" s="61">
        <v>27992</v>
      </c>
      <c r="I95" s="17" t="s">
        <v>293</v>
      </c>
      <c r="J95" s="40"/>
    </row>
    <row r="96" spans="1:10" ht="13" outlineLevel="1" x14ac:dyDescent="0.3">
      <c r="A96" s="40"/>
      <c r="B96" s="18" t="s">
        <v>294</v>
      </c>
      <c r="C96" s="86">
        <v>70947.83</v>
      </c>
      <c r="D96" s="84">
        <v>50481.51</v>
      </c>
      <c r="E96" s="85">
        <v>62228.84</v>
      </c>
      <c r="F96" s="68">
        <f>E96/G96</f>
        <v>0.73241419895485138</v>
      </c>
      <c r="G96" s="61">
        <v>84964</v>
      </c>
      <c r="H96" s="61">
        <v>63606</v>
      </c>
      <c r="I96" s="17" t="s">
        <v>295</v>
      </c>
      <c r="J96" s="40"/>
    </row>
    <row r="97" spans="1:10" ht="13" outlineLevel="1" x14ac:dyDescent="0.3">
      <c r="A97" s="40"/>
      <c r="B97" s="18" t="s">
        <v>296</v>
      </c>
      <c r="C97" s="86"/>
      <c r="D97" s="84"/>
      <c r="E97" s="87"/>
      <c r="F97" s="68"/>
      <c r="G97" s="61"/>
      <c r="H97" s="61">
        <v>73000</v>
      </c>
      <c r="I97" s="17"/>
      <c r="J97" s="40"/>
    </row>
    <row r="98" spans="1:10" ht="13" outlineLevel="1" x14ac:dyDescent="0.3">
      <c r="A98" s="40"/>
      <c r="B98" s="18" t="s">
        <v>297</v>
      </c>
      <c r="C98" s="86"/>
      <c r="D98" s="84">
        <v>0</v>
      </c>
      <c r="E98" s="85">
        <v>0</v>
      </c>
      <c r="F98" s="68">
        <f t="shared" ref="F98:F109" si="11">E98/G98</f>
        <v>0</v>
      </c>
      <c r="G98" s="61">
        <v>8000</v>
      </c>
      <c r="H98" s="61">
        <v>8000</v>
      </c>
      <c r="I98" s="80"/>
      <c r="J98" s="40"/>
    </row>
    <row r="99" spans="1:10" ht="13" outlineLevel="1" x14ac:dyDescent="0.3">
      <c r="A99" s="40"/>
      <c r="B99" s="18" t="s">
        <v>298</v>
      </c>
      <c r="C99" s="86">
        <f>SUM(C100:C104)</f>
        <v>7428.23</v>
      </c>
      <c r="D99" s="84">
        <f>D100+D101+D102+D103+D104+D105</f>
        <v>58338.53</v>
      </c>
      <c r="E99" s="85">
        <f>E100+E101+E102+E103+E104+E105</f>
        <v>94379.520000000004</v>
      </c>
      <c r="F99" s="68">
        <f t="shared" si="11"/>
        <v>0.84169731561580308</v>
      </c>
      <c r="G99" s="61">
        <f>G100+G101+G102+G103+G104+G105</f>
        <v>112130</v>
      </c>
      <c r="H99" s="61">
        <f>H100+H101+H102+H103+H104+H105</f>
        <v>18350</v>
      </c>
      <c r="I99" s="81"/>
      <c r="J99" s="40"/>
    </row>
    <row r="100" spans="1:10" ht="13" outlineLevel="1" x14ac:dyDescent="0.3">
      <c r="A100" s="40" t="s">
        <v>299</v>
      </c>
      <c r="B100" s="103" t="s">
        <v>861</v>
      </c>
      <c r="C100" s="86"/>
      <c r="D100" s="84">
        <v>42520.98</v>
      </c>
      <c r="E100" s="85">
        <v>88452.68</v>
      </c>
      <c r="F100" s="68">
        <f t="shared" si="11"/>
        <v>0.92494698316427892</v>
      </c>
      <c r="G100" s="61">
        <v>95630</v>
      </c>
      <c r="H100" s="61">
        <v>0</v>
      </c>
      <c r="I100" s="17" t="s">
        <v>862</v>
      </c>
      <c r="J100" s="40" t="s">
        <v>300</v>
      </c>
    </row>
    <row r="101" spans="1:10" ht="13" outlineLevel="1" x14ac:dyDescent="0.3">
      <c r="A101" s="40" t="s">
        <v>301</v>
      </c>
      <c r="B101" s="18" t="s">
        <v>302</v>
      </c>
      <c r="C101" s="104">
        <v>1518.27</v>
      </c>
      <c r="D101" s="95">
        <f>8128.37+798.59</f>
        <v>8926.9599999999991</v>
      </c>
      <c r="E101" s="85">
        <f>633.77+3813</f>
        <v>4446.7700000000004</v>
      </c>
      <c r="F101" s="68">
        <f t="shared" si="11"/>
        <v>0.74112833333333339</v>
      </c>
      <c r="G101" s="61">
        <v>6000</v>
      </c>
      <c r="H101" s="61">
        <v>6000</v>
      </c>
      <c r="I101" s="17" t="s">
        <v>303</v>
      </c>
      <c r="J101" s="40" t="s">
        <v>304</v>
      </c>
    </row>
    <row r="102" spans="1:10" ht="13" outlineLevel="1" x14ac:dyDescent="0.3">
      <c r="A102" s="40" t="s">
        <v>305</v>
      </c>
      <c r="B102" s="18" t="s">
        <v>306</v>
      </c>
      <c r="C102" s="86">
        <v>4751.72</v>
      </c>
      <c r="D102" s="84">
        <v>5883.64</v>
      </c>
      <c r="E102" s="85"/>
      <c r="F102" s="68">
        <f t="shared" si="11"/>
        <v>0</v>
      </c>
      <c r="G102" s="61">
        <v>5500</v>
      </c>
      <c r="H102" s="61">
        <v>5500</v>
      </c>
      <c r="I102" s="17" t="s">
        <v>307</v>
      </c>
      <c r="J102" s="40" t="s">
        <v>308</v>
      </c>
    </row>
    <row r="103" spans="1:10" ht="0.65" hidden="1" customHeight="1" outlineLevel="1" x14ac:dyDescent="0.3">
      <c r="A103" s="40" t="s">
        <v>309</v>
      </c>
      <c r="B103" s="18" t="s">
        <v>310</v>
      </c>
      <c r="C103" s="86"/>
      <c r="D103" s="84"/>
      <c r="E103" s="85"/>
      <c r="F103" s="68" t="e">
        <f t="shared" si="11"/>
        <v>#DIV/0!</v>
      </c>
      <c r="G103" s="61">
        <v>0</v>
      </c>
      <c r="H103" s="61"/>
      <c r="I103" s="17" t="s">
        <v>311</v>
      </c>
      <c r="J103" s="40" t="s">
        <v>312</v>
      </c>
    </row>
    <row r="104" spans="1:10" ht="14.5" customHeight="1" outlineLevel="1" x14ac:dyDescent="0.3">
      <c r="A104" s="40" t="s">
        <v>313</v>
      </c>
      <c r="B104" s="18" t="s">
        <v>314</v>
      </c>
      <c r="C104" s="86">
        <v>1158.24</v>
      </c>
      <c r="D104" s="84">
        <v>1006.95</v>
      </c>
      <c r="E104" s="85">
        <v>1480.07</v>
      </c>
      <c r="F104" s="68">
        <f t="shared" si="11"/>
        <v>0.296014</v>
      </c>
      <c r="G104" s="61">
        <v>5000</v>
      </c>
      <c r="H104" s="61">
        <v>6850</v>
      </c>
      <c r="I104" s="17" t="s">
        <v>315</v>
      </c>
      <c r="J104" s="40" t="s">
        <v>316</v>
      </c>
    </row>
    <row r="105" spans="1:10" ht="14" hidden="1" customHeight="1" outlineLevel="1" x14ac:dyDescent="0.3">
      <c r="A105" s="40"/>
      <c r="B105" s="18" t="s">
        <v>317</v>
      </c>
      <c r="C105" s="86"/>
      <c r="D105" s="84"/>
      <c r="E105" s="85"/>
      <c r="F105" s="68" t="e">
        <f t="shared" si="11"/>
        <v>#DIV/0!</v>
      </c>
      <c r="G105" s="61"/>
      <c r="H105" s="61"/>
      <c r="I105" s="17" t="s">
        <v>318</v>
      </c>
      <c r="J105" s="40"/>
    </row>
    <row r="106" spans="1:10" ht="27" customHeight="1" x14ac:dyDescent="0.3">
      <c r="A106" s="40" t="s">
        <v>319</v>
      </c>
      <c r="B106" s="12" t="s">
        <v>320</v>
      </c>
      <c r="C106" s="86">
        <f>SUM(C107:C108)</f>
        <v>73619.38</v>
      </c>
      <c r="D106" s="84">
        <f>SUM(D107:D108)</f>
        <v>133726.61000000002</v>
      </c>
      <c r="E106" s="85">
        <f>SUM(E107:E109)</f>
        <v>33024.68</v>
      </c>
      <c r="F106" s="68">
        <f t="shared" si="11"/>
        <v>0.51681815336463222</v>
      </c>
      <c r="G106" s="61">
        <f>SUM(G107:G109)</f>
        <v>63900</v>
      </c>
      <c r="H106" s="61">
        <f>SUM(H107:H109)</f>
        <v>32500</v>
      </c>
      <c r="I106" s="21" t="s">
        <v>321</v>
      </c>
      <c r="J106" s="40" t="s">
        <v>322</v>
      </c>
    </row>
    <row r="107" spans="1:10" ht="13" x14ac:dyDescent="0.3">
      <c r="A107" s="40"/>
      <c r="B107" s="18" t="s">
        <v>323</v>
      </c>
      <c r="C107" s="86">
        <v>45469.93</v>
      </c>
      <c r="D107" s="84">
        <f>92905.11+16179.6</f>
        <v>109084.71</v>
      </c>
      <c r="E107" s="85">
        <v>15831.32</v>
      </c>
      <c r="F107" s="68">
        <f t="shared" si="11"/>
        <v>0.27580696864111498</v>
      </c>
      <c r="G107" s="61">
        <v>57400</v>
      </c>
      <c r="H107" s="61">
        <v>32000</v>
      </c>
      <c r="I107" s="17" t="s">
        <v>321</v>
      </c>
      <c r="J107" s="40"/>
    </row>
    <row r="108" spans="1:10" ht="13" x14ac:dyDescent="0.3">
      <c r="A108" s="40"/>
      <c r="B108" s="18" t="s">
        <v>324</v>
      </c>
      <c r="C108" s="86">
        <v>28149.45</v>
      </c>
      <c r="D108" s="84">
        <v>24641.9</v>
      </c>
      <c r="E108" s="85">
        <v>9856.76</v>
      </c>
      <c r="F108" s="68">
        <f t="shared" si="11"/>
        <v>1.6427933333333333</v>
      </c>
      <c r="G108" s="61">
        <v>6000</v>
      </c>
      <c r="H108" s="61">
        <v>0</v>
      </c>
      <c r="I108" s="17" t="s">
        <v>325</v>
      </c>
      <c r="J108" s="40"/>
    </row>
    <row r="109" spans="1:10" ht="13" x14ac:dyDescent="0.3">
      <c r="A109" s="40"/>
      <c r="B109" s="18" t="s">
        <v>326</v>
      </c>
      <c r="C109" s="86"/>
      <c r="D109" s="84"/>
      <c r="E109" s="85">
        <v>7336.6</v>
      </c>
      <c r="F109" s="68">
        <f t="shared" si="11"/>
        <v>14.673200000000001</v>
      </c>
      <c r="G109" s="61">
        <v>500</v>
      </c>
      <c r="H109" s="61">
        <v>500</v>
      </c>
      <c r="I109" s="17" t="s">
        <v>327</v>
      </c>
      <c r="J109" s="40"/>
    </row>
    <row r="110" spans="1:10" s="6" customFormat="1" ht="11.5" customHeight="1" x14ac:dyDescent="0.3">
      <c r="A110" s="40" t="s">
        <v>328</v>
      </c>
      <c r="B110" s="12" t="s">
        <v>329</v>
      </c>
      <c r="C110" s="86">
        <v>0</v>
      </c>
      <c r="D110" s="84"/>
      <c r="E110" s="85">
        <v>0</v>
      </c>
      <c r="F110" s="68"/>
      <c r="G110" s="61">
        <v>0</v>
      </c>
      <c r="H110" s="61">
        <v>0</v>
      </c>
      <c r="I110" s="21" t="s">
        <v>330</v>
      </c>
      <c r="J110" s="40" t="s">
        <v>331</v>
      </c>
    </row>
    <row r="111" spans="1:10" s="6" customFormat="1" ht="13" hidden="1" x14ac:dyDescent="0.3">
      <c r="A111" s="40"/>
      <c r="B111" s="12" t="s">
        <v>332</v>
      </c>
      <c r="C111" s="86">
        <v>31942.23</v>
      </c>
      <c r="D111" s="84"/>
      <c r="E111" s="87"/>
      <c r="F111" s="68" t="e">
        <f>E111/G111</f>
        <v>#DIV/0!</v>
      </c>
      <c r="G111" s="61"/>
      <c r="H111" s="61"/>
      <c r="I111" s="21" t="s">
        <v>333</v>
      </c>
      <c r="J111" s="40"/>
    </row>
    <row r="112" spans="1:10" s="6" customFormat="1" ht="13" hidden="1" x14ac:dyDescent="0.3">
      <c r="A112" s="40"/>
      <c r="B112" s="12" t="s">
        <v>334</v>
      </c>
      <c r="C112" s="86"/>
      <c r="D112" s="84"/>
      <c r="E112" s="87"/>
      <c r="F112" s="68" t="e">
        <f>E112/G112</f>
        <v>#DIV/0!</v>
      </c>
      <c r="G112" s="61">
        <v>0</v>
      </c>
      <c r="H112" s="61"/>
      <c r="I112" s="21" t="s">
        <v>335</v>
      </c>
      <c r="J112" s="40"/>
    </row>
    <row r="113" spans="1:10" s="6" customFormat="1" ht="13" x14ac:dyDescent="0.3">
      <c r="A113" s="40" t="s">
        <v>336</v>
      </c>
      <c r="B113" s="12" t="s">
        <v>337</v>
      </c>
      <c r="C113" s="86">
        <f>C114+C115+C116+C119</f>
        <v>27710.29</v>
      </c>
      <c r="D113" s="84">
        <f>SUM(D114:D119)</f>
        <v>3354.4</v>
      </c>
      <c r="E113" s="85">
        <f t="shared" ref="E113" si="12">SUM(E114:E117)</f>
        <v>2586.25</v>
      </c>
      <c r="F113" s="68">
        <f>E113/G113</f>
        <v>0.34483333333333333</v>
      </c>
      <c r="G113" s="61">
        <f>SUM(G114:G117)</f>
        <v>7500</v>
      </c>
      <c r="H113" s="61">
        <f>SUM(H114:H117)</f>
        <v>2500</v>
      </c>
      <c r="I113" s="17" t="s">
        <v>338</v>
      </c>
      <c r="J113" s="40" t="s">
        <v>339</v>
      </c>
    </row>
    <row r="114" spans="1:10" ht="13" outlineLevel="1" x14ac:dyDescent="0.3">
      <c r="A114" s="40"/>
      <c r="B114" s="18" t="s">
        <v>340</v>
      </c>
      <c r="C114" s="86">
        <v>11018.82</v>
      </c>
      <c r="D114" s="84">
        <v>3354.4</v>
      </c>
      <c r="E114" s="85">
        <v>2370.8200000000002</v>
      </c>
      <c r="F114" s="68">
        <f>E114/G114</f>
        <v>0.94832800000000006</v>
      </c>
      <c r="G114" s="61">
        <v>2500</v>
      </c>
      <c r="H114" s="61">
        <v>2500</v>
      </c>
      <c r="I114" s="17" t="s">
        <v>341</v>
      </c>
      <c r="J114" s="40"/>
    </row>
    <row r="115" spans="1:10" ht="13" outlineLevel="1" x14ac:dyDescent="0.3">
      <c r="A115" s="40"/>
      <c r="B115" s="18" t="s">
        <v>342</v>
      </c>
      <c r="C115" s="86">
        <v>1402.63</v>
      </c>
      <c r="D115" s="84">
        <v>0</v>
      </c>
      <c r="E115" s="85">
        <v>215.43</v>
      </c>
      <c r="F115" s="68"/>
      <c r="G115" s="61">
        <v>0</v>
      </c>
      <c r="H115" s="61">
        <v>0</v>
      </c>
      <c r="I115" s="17" t="s">
        <v>343</v>
      </c>
      <c r="J115" s="40"/>
    </row>
    <row r="116" spans="1:10" ht="12.65" customHeight="1" outlineLevel="1" x14ac:dyDescent="0.3">
      <c r="A116" s="40"/>
      <c r="B116" s="18" t="s">
        <v>344</v>
      </c>
      <c r="C116" s="86">
        <v>880.95</v>
      </c>
      <c r="D116" s="84">
        <v>0</v>
      </c>
      <c r="E116" s="85">
        <v>0</v>
      </c>
      <c r="F116" s="68">
        <f t="shared" ref="F116:F124" si="13">E116/G116</f>
        <v>0</v>
      </c>
      <c r="G116" s="61">
        <v>5000</v>
      </c>
      <c r="H116" s="61">
        <v>0</v>
      </c>
      <c r="I116" s="17" t="s">
        <v>345</v>
      </c>
      <c r="J116" s="40"/>
    </row>
    <row r="117" spans="1:10" ht="13" hidden="1" outlineLevel="1" x14ac:dyDescent="0.3">
      <c r="A117" s="40"/>
      <c r="B117" s="18"/>
      <c r="C117" s="86"/>
      <c r="D117" s="84"/>
      <c r="E117" s="87"/>
      <c r="F117" s="68" t="e">
        <f t="shared" si="13"/>
        <v>#DIV/0!</v>
      </c>
      <c r="G117" s="61"/>
      <c r="H117" s="61"/>
      <c r="J117" s="40"/>
    </row>
    <row r="118" spans="1:10" ht="13" hidden="1" outlineLevel="1" x14ac:dyDescent="0.3">
      <c r="A118" s="40"/>
      <c r="B118" s="18"/>
      <c r="C118" s="86"/>
      <c r="D118" s="84"/>
      <c r="E118" s="87"/>
      <c r="F118" s="68" t="e">
        <f t="shared" si="13"/>
        <v>#DIV/0!</v>
      </c>
      <c r="G118" s="61"/>
      <c r="H118" s="61"/>
      <c r="J118" s="40"/>
    </row>
    <row r="119" spans="1:10" ht="13" hidden="1" outlineLevel="1" x14ac:dyDescent="0.3">
      <c r="A119" s="40"/>
      <c r="B119" s="12" t="s">
        <v>346</v>
      </c>
      <c r="C119" s="86">
        <v>14407.89</v>
      </c>
      <c r="D119" s="84"/>
      <c r="E119" s="87"/>
      <c r="F119" s="68" t="e">
        <f t="shared" si="13"/>
        <v>#DIV/0!</v>
      </c>
      <c r="G119" s="61">
        <v>0</v>
      </c>
      <c r="H119" s="61"/>
      <c r="I119" s="17" t="s">
        <v>347</v>
      </c>
      <c r="J119" s="40"/>
    </row>
    <row r="120" spans="1:10" s="6" customFormat="1" ht="13" x14ac:dyDescent="0.3">
      <c r="A120" s="40" t="s">
        <v>348</v>
      </c>
      <c r="B120" s="12" t="s">
        <v>349</v>
      </c>
      <c r="C120" s="86">
        <f>SUM(C121:C130)</f>
        <v>51626.38</v>
      </c>
      <c r="D120" s="84">
        <f>SUM(D121:D130)</f>
        <v>116300.33</v>
      </c>
      <c r="E120" s="85">
        <f>SUM(E121:E130)</f>
        <v>140986.57999999999</v>
      </c>
      <c r="F120" s="68">
        <f t="shared" si="13"/>
        <v>1.0317349432857665</v>
      </c>
      <c r="G120" s="61">
        <f>SUM(G121:G129)</f>
        <v>136650</v>
      </c>
      <c r="H120" s="61">
        <f>SUM(H121:H129)</f>
        <v>78450</v>
      </c>
      <c r="I120" s="21" t="s">
        <v>350</v>
      </c>
      <c r="J120" s="40" t="s">
        <v>351</v>
      </c>
    </row>
    <row r="121" spans="1:10" ht="13" outlineLevel="1" x14ac:dyDescent="0.3">
      <c r="A121" s="40"/>
      <c r="B121" s="18" t="s">
        <v>352</v>
      </c>
      <c r="C121" s="86">
        <v>16313.84</v>
      </c>
      <c r="D121" s="84">
        <v>17504.5</v>
      </c>
      <c r="E121" s="85">
        <v>18565.54</v>
      </c>
      <c r="F121" s="68">
        <f t="shared" si="13"/>
        <v>1.4281184615384617</v>
      </c>
      <c r="G121" s="61">
        <v>13000</v>
      </c>
      <c r="H121" s="61">
        <v>13000</v>
      </c>
      <c r="I121" s="17" t="s">
        <v>353</v>
      </c>
      <c r="J121" s="40"/>
    </row>
    <row r="122" spans="1:10" ht="12" customHeight="1" outlineLevel="1" x14ac:dyDescent="0.3">
      <c r="A122" s="40"/>
      <c r="B122" s="18" t="s">
        <v>354</v>
      </c>
      <c r="C122" s="86">
        <v>8884.9599999999991</v>
      </c>
      <c r="D122" s="84">
        <v>4456.4799999999996</v>
      </c>
      <c r="E122" s="85">
        <v>5588.86</v>
      </c>
      <c r="F122" s="68">
        <f t="shared" si="13"/>
        <v>1.3972149999999999</v>
      </c>
      <c r="G122" s="61">
        <v>4000</v>
      </c>
      <c r="H122" s="61">
        <v>4000</v>
      </c>
      <c r="I122" s="17" t="s">
        <v>355</v>
      </c>
      <c r="J122" s="40"/>
    </row>
    <row r="123" spans="1:10" ht="13" hidden="1" outlineLevel="1" x14ac:dyDescent="0.3">
      <c r="A123" s="40"/>
      <c r="B123" s="18" t="s">
        <v>356</v>
      </c>
      <c r="C123" s="86">
        <v>0</v>
      </c>
      <c r="D123" s="84"/>
      <c r="E123" s="87"/>
      <c r="F123" s="68" t="e">
        <f t="shared" si="13"/>
        <v>#DIV/0!</v>
      </c>
      <c r="G123" s="61">
        <v>0</v>
      </c>
      <c r="H123" s="61"/>
      <c r="I123" s="17" t="s">
        <v>357</v>
      </c>
      <c r="J123" s="40"/>
    </row>
    <row r="124" spans="1:10" ht="13" outlineLevel="1" x14ac:dyDescent="0.3">
      <c r="A124" s="40"/>
      <c r="B124" s="18" t="s">
        <v>358</v>
      </c>
      <c r="C124" s="86">
        <v>440.17</v>
      </c>
      <c r="D124" s="84">
        <v>1231.0999999999999</v>
      </c>
      <c r="E124" s="85">
        <v>235.01</v>
      </c>
      <c r="F124" s="68">
        <f t="shared" si="13"/>
        <v>0.94003999999999999</v>
      </c>
      <c r="G124" s="61">
        <v>250</v>
      </c>
      <c r="H124" s="61">
        <v>250</v>
      </c>
      <c r="I124" s="17" t="s">
        <v>359</v>
      </c>
      <c r="J124" s="40"/>
    </row>
    <row r="125" spans="1:10" ht="13" outlineLevel="1" x14ac:dyDescent="0.3">
      <c r="A125" s="40"/>
      <c r="B125" s="18" t="s">
        <v>360</v>
      </c>
      <c r="C125" s="86"/>
      <c r="D125" s="84">
        <f>27491.78+27.77</f>
        <v>27519.55</v>
      </c>
      <c r="E125" s="85">
        <v>18.23</v>
      </c>
      <c r="F125" s="68"/>
      <c r="G125" s="61">
        <v>0</v>
      </c>
      <c r="H125" s="61">
        <v>0</v>
      </c>
      <c r="I125" s="17" t="s">
        <v>361</v>
      </c>
      <c r="J125" s="40"/>
    </row>
    <row r="126" spans="1:10" ht="13" outlineLevel="1" x14ac:dyDescent="0.3">
      <c r="A126" s="40"/>
      <c r="B126" s="18" t="s">
        <v>864</v>
      </c>
      <c r="C126" s="86">
        <v>0</v>
      </c>
      <c r="D126" s="84">
        <v>0</v>
      </c>
      <c r="E126" s="85">
        <v>74.05</v>
      </c>
      <c r="F126" s="68"/>
      <c r="G126" s="61"/>
      <c r="H126" s="61"/>
      <c r="I126" s="17" t="s">
        <v>362</v>
      </c>
      <c r="J126" s="40"/>
    </row>
    <row r="127" spans="1:10" ht="13" outlineLevel="1" x14ac:dyDescent="0.3">
      <c r="A127" s="40"/>
      <c r="B127" s="18" t="s">
        <v>363</v>
      </c>
      <c r="C127" s="86">
        <v>119.19</v>
      </c>
      <c r="D127" s="84">
        <v>99.89</v>
      </c>
      <c r="E127" s="85">
        <v>99.89</v>
      </c>
      <c r="F127" s="68">
        <f>E127/G127</f>
        <v>0.49945000000000001</v>
      </c>
      <c r="G127" s="61">
        <v>200</v>
      </c>
      <c r="H127" s="61">
        <v>200</v>
      </c>
      <c r="I127" s="17" t="s">
        <v>364</v>
      </c>
      <c r="J127" s="40"/>
    </row>
    <row r="128" spans="1:10" ht="13" outlineLevel="1" x14ac:dyDescent="0.3">
      <c r="A128" s="40"/>
      <c r="B128" s="18" t="s">
        <v>365</v>
      </c>
      <c r="C128" s="86"/>
      <c r="D128" s="84">
        <v>0</v>
      </c>
      <c r="E128" s="85">
        <v>1000</v>
      </c>
      <c r="F128" s="68">
        <f>E128/G128</f>
        <v>1</v>
      </c>
      <c r="G128" s="61">
        <v>1000</v>
      </c>
      <c r="H128" s="61">
        <v>1000</v>
      </c>
      <c r="I128" s="17" t="s">
        <v>366</v>
      </c>
      <c r="J128" s="40"/>
    </row>
    <row r="129" spans="1:10" ht="13" outlineLevel="1" x14ac:dyDescent="0.3">
      <c r="A129" s="40"/>
      <c r="B129" s="18" t="s">
        <v>367</v>
      </c>
      <c r="C129" s="86">
        <v>22307.62</v>
      </c>
      <c r="D129" s="84">
        <v>62720.82</v>
      </c>
      <c r="E129" s="85">
        <v>138228.66</v>
      </c>
      <c r="F129" s="68">
        <f>E129/G129</f>
        <v>1.1694472081218275</v>
      </c>
      <c r="G129" s="61">
        <f>104100-25900+40000</f>
        <v>118200</v>
      </c>
      <c r="H129" s="61">
        <v>60000</v>
      </c>
      <c r="I129" s="17" t="s">
        <v>368</v>
      </c>
      <c r="J129" s="40"/>
    </row>
    <row r="130" spans="1:10" ht="13" outlineLevel="1" x14ac:dyDescent="0.3">
      <c r="A130" s="40"/>
      <c r="B130" s="18" t="s">
        <v>369</v>
      </c>
      <c r="C130" s="86">
        <v>3560.6</v>
      </c>
      <c r="D130" s="84">
        <v>2767.99</v>
      </c>
      <c r="E130" s="85">
        <v>-22823.66</v>
      </c>
      <c r="F130" s="68"/>
      <c r="G130" s="61"/>
      <c r="H130" s="61">
        <v>3000</v>
      </c>
      <c r="I130" s="17" t="s">
        <v>370</v>
      </c>
      <c r="J130" s="40"/>
    </row>
    <row r="131" spans="1:10" s="6" customFormat="1" ht="13" x14ac:dyDescent="0.3">
      <c r="A131" s="40" t="s">
        <v>371</v>
      </c>
      <c r="B131" s="25" t="s">
        <v>372</v>
      </c>
      <c r="C131" s="86">
        <f>SUM(C132:C138)</f>
        <v>56332.24</v>
      </c>
      <c r="D131" s="86">
        <f>SUM(D132:D138)</f>
        <v>54856.14</v>
      </c>
      <c r="E131" s="85">
        <f>SUM(E132:E138)</f>
        <v>110444.25</v>
      </c>
      <c r="F131" s="68">
        <f>E131/G131</f>
        <v>0.73629500000000003</v>
      </c>
      <c r="G131" s="61">
        <f>SUM(G132:G138)</f>
        <v>150000</v>
      </c>
      <c r="H131" s="61">
        <f>SUM(H132:H138)</f>
        <v>95000</v>
      </c>
      <c r="I131" s="21" t="s">
        <v>373</v>
      </c>
      <c r="J131" s="40" t="s">
        <v>374</v>
      </c>
    </row>
    <row r="132" spans="1:10" ht="13" outlineLevel="1" x14ac:dyDescent="0.3">
      <c r="A132" s="40"/>
      <c r="B132" s="22" t="s">
        <v>375</v>
      </c>
      <c r="C132" s="86">
        <v>4779.18</v>
      </c>
      <c r="D132" s="84">
        <v>2500</v>
      </c>
      <c r="E132" s="85">
        <v>0</v>
      </c>
      <c r="F132" s="68">
        <f>E132/G132</f>
        <v>0</v>
      </c>
      <c r="G132" s="61">
        <f>3000+6500</f>
        <v>9500</v>
      </c>
      <c r="H132" s="61">
        <v>9500</v>
      </c>
      <c r="I132" s="17" t="s">
        <v>376</v>
      </c>
      <c r="J132" s="40"/>
    </row>
    <row r="133" spans="1:10" ht="13" outlineLevel="1" x14ac:dyDescent="0.3">
      <c r="A133" s="40"/>
      <c r="B133" s="22" t="s">
        <v>377</v>
      </c>
      <c r="C133" s="86">
        <v>0</v>
      </c>
      <c r="D133" s="84">
        <v>0</v>
      </c>
      <c r="E133" s="85">
        <v>0</v>
      </c>
      <c r="F133" s="68"/>
      <c r="G133" s="61">
        <v>0</v>
      </c>
      <c r="H133" s="61">
        <v>0</v>
      </c>
      <c r="I133" s="17" t="s">
        <v>377</v>
      </c>
      <c r="J133" s="40"/>
    </row>
    <row r="134" spans="1:10" ht="13" outlineLevel="1" x14ac:dyDescent="0.3">
      <c r="A134" s="40"/>
      <c r="B134" s="22" t="s">
        <v>378</v>
      </c>
      <c r="C134" s="94">
        <f>12218.86+118.81</f>
        <v>12337.67</v>
      </c>
      <c r="D134" s="84">
        <f>1455.15+35.2</f>
        <v>1490.3500000000001</v>
      </c>
      <c r="E134" s="85">
        <v>10189.49</v>
      </c>
      <c r="F134" s="68">
        <f t="shared" ref="F134:F139" si="14">E134/G134</f>
        <v>0.84912416666666668</v>
      </c>
      <c r="G134" s="61">
        <v>12000</v>
      </c>
      <c r="H134" s="61">
        <v>6000</v>
      </c>
      <c r="I134" s="17" t="s">
        <v>379</v>
      </c>
      <c r="J134" s="40"/>
    </row>
    <row r="135" spans="1:10" ht="13" outlineLevel="1" x14ac:dyDescent="0.3">
      <c r="A135" s="40"/>
      <c r="B135" s="22" t="s">
        <v>380</v>
      </c>
      <c r="C135" s="94"/>
      <c r="D135" s="95">
        <f>7.02+117.79</f>
        <v>124.81</v>
      </c>
      <c r="E135" s="85">
        <v>0</v>
      </c>
      <c r="F135" s="68">
        <f t="shared" si="14"/>
        <v>0</v>
      </c>
      <c r="G135" s="61">
        <v>15000</v>
      </c>
      <c r="H135" s="61">
        <v>10000</v>
      </c>
      <c r="I135" s="17" t="s">
        <v>381</v>
      </c>
      <c r="J135" s="40"/>
    </row>
    <row r="136" spans="1:10" ht="13" outlineLevel="1" x14ac:dyDescent="0.3">
      <c r="A136" s="40"/>
      <c r="B136" s="22" t="s">
        <v>382</v>
      </c>
      <c r="C136" s="94"/>
      <c r="D136" s="84">
        <v>1179.75</v>
      </c>
      <c r="E136" s="85">
        <v>4802.79</v>
      </c>
      <c r="F136" s="68">
        <f t="shared" si="14"/>
        <v>0.48027900000000001</v>
      </c>
      <c r="G136" s="61">
        <v>10000</v>
      </c>
      <c r="H136" s="61">
        <v>6000</v>
      </c>
      <c r="I136" s="17" t="s">
        <v>383</v>
      </c>
      <c r="J136" s="40"/>
    </row>
    <row r="137" spans="1:10" ht="13" outlineLevel="1" x14ac:dyDescent="0.3">
      <c r="A137" s="40"/>
      <c r="B137" s="22" t="s">
        <v>384</v>
      </c>
      <c r="C137" s="86"/>
      <c r="D137" s="84">
        <v>277.33</v>
      </c>
      <c r="E137" s="85">
        <v>1165.94</v>
      </c>
      <c r="F137" s="68">
        <f t="shared" si="14"/>
        <v>0.21198909090909093</v>
      </c>
      <c r="G137" s="61">
        <v>5500</v>
      </c>
      <c r="H137" s="61">
        <v>3500</v>
      </c>
      <c r="I137" s="17" t="s">
        <v>385</v>
      </c>
      <c r="J137" s="40"/>
    </row>
    <row r="138" spans="1:10" ht="11.25" customHeight="1" outlineLevel="1" x14ac:dyDescent="0.3">
      <c r="A138" s="40" t="s">
        <v>386</v>
      </c>
      <c r="B138" s="18" t="s">
        <v>387</v>
      </c>
      <c r="C138" s="86">
        <v>39215.39</v>
      </c>
      <c r="D138" s="84">
        <v>49283.9</v>
      </c>
      <c r="E138" s="85">
        <v>94286.03</v>
      </c>
      <c r="F138" s="68">
        <f t="shared" si="14"/>
        <v>0.9621023469387755</v>
      </c>
      <c r="G138" s="61">
        <v>98000</v>
      </c>
      <c r="H138" s="61">
        <v>60000</v>
      </c>
      <c r="I138" s="17" t="s">
        <v>388</v>
      </c>
      <c r="J138" s="40" t="s">
        <v>389</v>
      </c>
    </row>
    <row r="139" spans="1:10" ht="26" x14ac:dyDescent="0.3">
      <c r="A139" s="40" t="s">
        <v>390</v>
      </c>
      <c r="B139" s="12" t="s">
        <v>391</v>
      </c>
      <c r="C139" s="86">
        <v>2880.76</v>
      </c>
      <c r="D139" s="84">
        <v>4654.5</v>
      </c>
      <c r="E139" s="85">
        <v>4068.5</v>
      </c>
      <c r="F139" s="68">
        <f t="shared" si="14"/>
        <v>1.1624285714285714</v>
      </c>
      <c r="G139" s="61">
        <v>3500</v>
      </c>
      <c r="H139" s="61">
        <v>2000</v>
      </c>
      <c r="I139" s="21" t="s">
        <v>392</v>
      </c>
      <c r="J139" s="40" t="s">
        <v>393</v>
      </c>
    </row>
    <row r="140" spans="1:10" ht="17.25" customHeight="1" x14ac:dyDescent="0.3">
      <c r="A140" s="14"/>
      <c r="B140" s="12" t="s">
        <v>394</v>
      </c>
      <c r="C140" s="88">
        <f>C141+C142</f>
        <v>30012.13</v>
      </c>
      <c r="D140" s="84">
        <f t="shared" ref="D140:G140" si="15">D141+D142</f>
        <v>4491.83</v>
      </c>
      <c r="E140" s="85">
        <f t="shared" si="15"/>
        <v>2248.62</v>
      </c>
      <c r="F140" s="68"/>
      <c r="G140" s="61">
        <f t="shared" si="15"/>
        <v>0</v>
      </c>
      <c r="H140" s="61">
        <v>1000</v>
      </c>
      <c r="I140" s="21" t="s">
        <v>395</v>
      </c>
      <c r="J140" s="66"/>
    </row>
    <row r="141" spans="1:10" ht="17.25" customHeight="1" outlineLevel="1" x14ac:dyDescent="0.25">
      <c r="A141" s="14" t="s">
        <v>396</v>
      </c>
      <c r="B141" s="18" t="s">
        <v>397</v>
      </c>
      <c r="C141" s="86">
        <v>5012.13</v>
      </c>
      <c r="D141" s="84">
        <v>1388.18</v>
      </c>
      <c r="E141" s="85">
        <v>2248.62</v>
      </c>
      <c r="F141" s="68"/>
      <c r="G141" s="61">
        <v>0</v>
      </c>
      <c r="H141" s="61">
        <v>1000</v>
      </c>
      <c r="I141" s="17" t="s">
        <v>398</v>
      </c>
      <c r="J141" s="20" t="s">
        <v>399</v>
      </c>
    </row>
    <row r="142" spans="1:10" ht="17.25" customHeight="1" outlineLevel="1" x14ac:dyDescent="0.25">
      <c r="A142" s="14"/>
      <c r="B142" s="18" t="s">
        <v>400</v>
      </c>
      <c r="C142" s="86">
        <v>25000</v>
      </c>
      <c r="D142" s="84">
        <v>3103.65</v>
      </c>
      <c r="E142" s="85"/>
      <c r="F142" s="68"/>
      <c r="G142" s="61">
        <v>0</v>
      </c>
      <c r="H142" s="61">
        <v>0</v>
      </c>
      <c r="I142" s="17" t="s">
        <v>395</v>
      </c>
      <c r="J142" s="20"/>
    </row>
    <row r="143" spans="1:10" s="6" customFormat="1" ht="12" customHeight="1" thickBot="1" x14ac:dyDescent="0.35">
      <c r="A143" s="20" t="s">
        <v>401</v>
      </c>
      <c r="B143" s="12" t="s">
        <v>402</v>
      </c>
      <c r="C143" s="86">
        <v>264723.8</v>
      </c>
      <c r="D143" s="84">
        <f>303408.09+2286.14</f>
        <v>305694.23000000004</v>
      </c>
      <c r="E143" s="85">
        <v>310853.78000000003</v>
      </c>
      <c r="F143" s="68">
        <f>E143/G143</f>
        <v>0.92862859788794461</v>
      </c>
      <c r="G143" s="61">
        <f>334745</f>
        <v>334745</v>
      </c>
      <c r="H143" s="61">
        <v>326462</v>
      </c>
      <c r="I143" s="21" t="s">
        <v>250</v>
      </c>
      <c r="J143" s="20" t="s">
        <v>403</v>
      </c>
    </row>
    <row r="144" spans="1:10" s="1" customFormat="1" ht="16" thickBot="1" x14ac:dyDescent="0.4">
      <c r="A144" s="24"/>
      <c r="B144" s="23" t="s">
        <v>404</v>
      </c>
      <c r="C144" s="91">
        <f>C143+C140+C139+C131+C120+C113+C111+C110+C106+C91+C78</f>
        <v>1731402.7999999998</v>
      </c>
      <c r="D144" s="91">
        <f>D143+D140+D139+D131+D120+D113+D111+D110+D106+D91+D78</f>
        <v>1900847.6800000002</v>
      </c>
      <c r="E144" s="91">
        <f>E143+E140+E139+E131+E120+E113+E111+E110+E106+E91+E78</f>
        <v>1905797.2</v>
      </c>
      <c r="F144" s="41">
        <f>E144/G144</f>
        <v>0.92762725080628439</v>
      </c>
      <c r="G144" s="49">
        <f>G143+G140+G139+G131+G120+G113+G112+G111+G110+G106+G91+G78</f>
        <v>2054486</v>
      </c>
      <c r="H144" s="49">
        <f>H143+H140+H139+H131+H120+H113+H112+H111+H110+H106+H91+H78</f>
        <v>1936229</v>
      </c>
      <c r="I144" s="24" t="s">
        <v>405</v>
      </c>
      <c r="J144" s="24"/>
    </row>
    <row r="145" spans="1:10" ht="13" x14ac:dyDescent="0.3">
      <c r="A145" s="14"/>
      <c r="B145" s="12" t="s">
        <v>406</v>
      </c>
      <c r="C145" s="83">
        <f>SUM(C146:C152)</f>
        <v>506419.16200000001</v>
      </c>
      <c r="D145" s="84">
        <f>D147+D148+D149+D150+D151+D152</f>
        <v>337883.39999999997</v>
      </c>
      <c r="E145" s="85">
        <f>E146+E147+E148+E149+E150+E151+E152</f>
        <v>322673.28000000003</v>
      </c>
      <c r="F145" s="68">
        <f>E145/G145</f>
        <v>1.0848895687988569</v>
      </c>
      <c r="G145" s="61">
        <f>G146+G147+G148+G149+G150+G151+G152</f>
        <v>297425</v>
      </c>
      <c r="H145" s="61">
        <f>H146+H147+H148+H149+H150+H151+H152</f>
        <v>260013</v>
      </c>
      <c r="I145" s="21" t="s">
        <v>407</v>
      </c>
      <c r="J145" s="14"/>
    </row>
    <row r="146" spans="1:10" x14ac:dyDescent="0.25">
      <c r="A146" s="14"/>
      <c r="B146" s="18" t="s">
        <v>408</v>
      </c>
      <c r="C146" s="83"/>
      <c r="D146" s="84">
        <v>0</v>
      </c>
      <c r="E146" s="85">
        <v>0</v>
      </c>
      <c r="F146" s="68"/>
      <c r="G146" s="61"/>
      <c r="H146" s="61"/>
      <c r="I146" s="15"/>
      <c r="J146" s="14"/>
    </row>
    <row r="147" spans="1:10" ht="17.25" customHeight="1" outlineLevel="1" x14ac:dyDescent="0.25">
      <c r="A147" s="14"/>
      <c r="B147" s="18" t="s">
        <v>409</v>
      </c>
      <c r="C147" s="86">
        <v>0</v>
      </c>
      <c r="D147" s="84">
        <v>0</v>
      </c>
      <c r="E147" s="85">
        <v>0</v>
      </c>
      <c r="F147" s="68"/>
      <c r="G147" s="61">
        <v>0</v>
      </c>
      <c r="H147" s="61"/>
      <c r="I147" s="17"/>
      <c r="J147" s="14"/>
    </row>
    <row r="148" spans="1:10" s="6" customFormat="1" ht="17.25" customHeight="1" outlineLevel="1" x14ac:dyDescent="0.25">
      <c r="A148" s="14" t="s">
        <v>410</v>
      </c>
      <c r="B148" s="18" t="s">
        <v>411</v>
      </c>
      <c r="C148" s="86">
        <v>192137</v>
      </c>
      <c r="D148" s="84">
        <v>18379.599999999999</v>
      </c>
      <c r="E148" s="85">
        <v>0</v>
      </c>
      <c r="F148" s="68">
        <f>E148/G148</f>
        <v>0</v>
      </c>
      <c r="G148" s="61">
        <v>2000</v>
      </c>
      <c r="H148" s="61">
        <v>0</v>
      </c>
      <c r="I148" s="17" t="s">
        <v>412</v>
      </c>
      <c r="J148" s="14" t="s">
        <v>413</v>
      </c>
    </row>
    <row r="149" spans="1:10" s="6" customFormat="1" ht="17" customHeight="1" outlineLevel="1" x14ac:dyDescent="0.25">
      <c r="A149" s="20" t="s">
        <v>414</v>
      </c>
      <c r="B149" s="18" t="s">
        <v>415</v>
      </c>
      <c r="C149" s="86">
        <v>250112</v>
      </c>
      <c r="D149" s="84">
        <f>250000+120</f>
        <v>250120</v>
      </c>
      <c r="E149" s="85">
        <v>250000</v>
      </c>
      <c r="F149" s="68">
        <f>E149/G149</f>
        <v>1.1363636363636365</v>
      </c>
      <c r="G149" s="61">
        <v>220000</v>
      </c>
      <c r="H149" s="61">
        <v>183755</v>
      </c>
      <c r="I149" s="17" t="s">
        <v>416</v>
      </c>
      <c r="J149" s="20" t="s">
        <v>417</v>
      </c>
    </row>
    <row r="150" spans="1:10" s="6" customFormat="1" ht="12" hidden="1" customHeight="1" outlineLevel="1" x14ac:dyDescent="0.25">
      <c r="A150" s="26"/>
      <c r="B150" s="18" t="s">
        <v>418</v>
      </c>
      <c r="C150" s="86">
        <v>0</v>
      </c>
      <c r="D150" s="84"/>
      <c r="E150" s="87"/>
      <c r="F150" s="68"/>
      <c r="G150" s="61"/>
      <c r="H150" s="61"/>
      <c r="I150" s="17"/>
      <c r="J150" s="26"/>
    </row>
    <row r="151" spans="1:10" s="44" customFormat="1" outlineLevel="1" x14ac:dyDescent="0.25">
      <c r="A151" s="26"/>
      <c r="B151" s="18" t="s">
        <v>419</v>
      </c>
      <c r="C151" s="86">
        <v>26250</v>
      </c>
      <c r="D151" s="84">
        <f>26250+7500</f>
        <v>33750</v>
      </c>
      <c r="E151" s="85">
        <f>23750+10000</f>
        <v>33750</v>
      </c>
      <c r="F151" s="68">
        <f>E151/G151</f>
        <v>1</v>
      </c>
      <c r="G151" s="61">
        <f>26250+7500</f>
        <v>33750</v>
      </c>
      <c r="H151" s="61">
        <f>10000+16250+7500</f>
        <v>33750</v>
      </c>
      <c r="I151" s="17"/>
      <c r="J151" s="26" t="s">
        <v>420</v>
      </c>
    </row>
    <row r="152" spans="1:10" s="6" customFormat="1" outlineLevel="1" x14ac:dyDescent="0.25">
      <c r="A152" s="26" t="s">
        <v>421</v>
      </c>
      <c r="B152" s="18" t="s">
        <v>422</v>
      </c>
      <c r="C152" s="86">
        <v>37920.161999999997</v>
      </c>
      <c r="D152" s="84">
        <v>35633.800000000003</v>
      </c>
      <c r="E152" s="85">
        <v>38923.279999999999</v>
      </c>
      <c r="F152" s="68">
        <f>E152/G152</f>
        <v>0.93397192561487696</v>
      </c>
      <c r="G152" s="61">
        <v>41675</v>
      </c>
      <c r="H152" s="61">
        <v>42508</v>
      </c>
      <c r="I152" s="17" t="s">
        <v>250</v>
      </c>
      <c r="J152" s="26" t="s">
        <v>423</v>
      </c>
    </row>
    <row r="153" spans="1:10" s="6" customFormat="1" ht="13" x14ac:dyDescent="0.3">
      <c r="A153" s="20"/>
      <c r="B153" s="12" t="s">
        <v>424</v>
      </c>
      <c r="C153" s="86">
        <f>C154+C155</f>
        <v>37563.31</v>
      </c>
      <c r="D153" s="84">
        <f t="shared" ref="D153:H153" si="16">D154+D155</f>
        <v>3839.46</v>
      </c>
      <c r="E153" s="85">
        <f t="shared" si="16"/>
        <v>4569.84</v>
      </c>
      <c r="F153" s="68">
        <f>E153/G153</f>
        <v>0.913968</v>
      </c>
      <c r="G153" s="61">
        <f t="shared" si="16"/>
        <v>5000</v>
      </c>
      <c r="H153" s="61">
        <f t="shared" si="16"/>
        <v>6900</v>
      </c>
      <c r="I153" s="21" t="s">
        <v>425</v>
      </c>
      <c r="J153" s="20"/>
    </row>
    <row r="154" spans="1:10" s="6" customFormat="1" ht="12.75" customHeight="1" outlineLevel="1" x14ac:dyDescent="0.25">
      <c r="A154" s="20" t="s">
        <v>426</v>
      </c>
      <c r="B154" s="18" t="s">
        <v>427</v>
      </c>
      <c r="C154" s="86">
        <v>36854.06</v>
      </c>
      <c r="D154" s="84">
        <f>3838.76+0.7</f>
        <v>3839.46</v>
      </c>
      <c r="E154" s="85">
        <v>4569.84</v>
      </c>
      <c r="F154" s="68">
        <f>E154/G154</f>
        <v>0.913968</v>
      </c>
      <c r="G154" s="61">
        <v>5000</v>
      </c>
      <c r="H154" s="61">
        <f>5000+1900</f>
        <v>6900</v>
      </c>
      <c r="I154" s="17" t="s">
        <v>428</v>
      </c>
      <c r="J154" s="20" t="s">
        <v>429</v>
      </c>
    </row>
    <row r="155" spans="1:10" s="6" customFormat="1" ht="12.75" customHeight="1" outlineLevel="1" x14ac:dyDescent="0.25">
      <c r="A155" s="20" t="s">
        <v>430</v>
      </c>
      <c r="B155" s="18" t="s">
        <v>431</v>
      </c>
      <c r="C155" s="86">
        <v>709.25</v>
      </c>
      <c r="D155" s="84">
        <v>0</v>
      </c>
      <c r="E155" s="85">
        <v>0</v>
      </c>
      <c r="F155" s="68"/>
      <c r="G155" s="61">
        <v>0</v>
      </c>
      <c r="H155" s="61">
        <v>0</v>
      </c>
      <c r="I155" s="17" t="s">
        <v>432</v>
      </c>
      <c r="J155" s="20" t="s">
        <v>433</v>
      </c>
    </row>
    <row r="156" spans="1:10" s="6" customFormat="1" ht="13" x14ac:dyDescent="0.3">
      <c r="A156" s="20"/>
      <c r="B156" s="12" t="s">
        <v>434</v>
      </c>
      <c r="C156" s="86">
        <f>C157+C158</f>
        <v>100329.35</v>
      </c>
      <c r="D156" s="84">
        <f t="shared" ref="D156:H156" si="17">D157+D158</f>
        <v>76796.61</v>
      </c>
      <c r="E156" s="85">
        <f t="shared" si="17"/>
        <v>43962.84</v>
      </c>
      <c r="F156" s="68">
        <f>E156/G156</f>
        <v>1.4273649350649349</v>
      </c>
      <c r="G156" s="61">
        <f t="shared" si="17"/>
        <v>30800</v>
      </c>
      <c r="H156" s="61">
        <f t="shared" si="17"/>
        <v>33350</v>
      </c>
      <c r="I156" s="21" t="s">
        <v>435</v>
      </c>
      <c r="J156" s="20"/>
    </row>
    <row r="157" spans="1:10" s="6" customFormat="1" outlineLevel="1" x14ac:dyDescent="0.25">
      <c r="A157" s="20" t="s">
        <v>436</v>
      </c>
      <c r="B157" s="18" t="s">
        <v>437</v>
      </c>
      <c r="C157" s="86">
        <v>0</v>
      </c>
      <c r="D157" s="84">
        <v>0</v>
      </c>
      <c r="E157" s="85"/>
      <c r="F157" s="68"/>
      <c r="G157" s="61">
        <v>0</v>
      </c>
      <c r="H157" s="61">
        <v>0</v>
      </c>
      <c r="I157" s="17" t="s">
        <v>438</v>
      </c>
      <c r="J157" s="20" t="s">
        <v>439</v>
      </c>
    </row>
    <row r="158" spans="1:10" s="6" customFormat="1" ht="13" outlineLevel="1" thickBot="1" x14ac:dyDescent="0.3">
      <c r="A158" s="20" t="s">
        <v>440</v>
      </c>
      <c r="B158" s="18" t="s">
        <v>441</v>
      </c>
      <c r="C158" s="86">
        <f>64073.08+37226.16-26250+25280.11</f>
        <v>100329.35</v>
      </c>
      <c r="D158" s="84">
        <f>19165.98+65130.63-7500</f>
        <v>76796.61</v>
      </c>
      <c r="E158" s="85">
        <f>18013.99+25948.85</f>
        <v>43962.84</v>
      </c>
      <c r="F158" s="68">
        <f>E158/G158</f>
        <v>1.4273649350649349</v>
      </c>
      <c r="G158" s="61">
        <f>10000+20800</f>
        <v>30800</v>
      </c>
      <c r="H158" s="61">
        <f>10000+23350</f>
        <v>33350</v>
      </c>
      <c r="I158" s="17" t="s">
        <v>442</v>
      </c>
      <c r="J158" s="20" t="s">
        <v>443</v>
      </c>
    </row>
    <row r="159" spans="1:10" s="1" customFormat="1" ht="20.25" customHeight="1" thickBot="1" x14ac:dyDescent="0.4">
      <c r="A159" s="43"/>
      <c r="B159" s="23" t="s">
        <v>444</v>
      </c>
      <c r="C159" s="91">
        <f>C145+C153+C156</f>
        <v>644311.82200000004</v>
      </c>
      <c r="D159" s="91">
        <f>D145+D153+D156</f>
        <v>418519.47</v>
      </c>
      <c r="E159" s="91">
        <f>E145+E153+E156</f>
        <v>371205.96000000008</v>
      </c>
      <c r="F159" s="41">
        <f>E159/G159</f>
        <v>1.1139799234751298</v>
      </c>
      <c r="G159" s="49">
        <f t="shared" ref="G159:H159" si="18">G145+G153+G156</f>
        <v>333225</v>
      </c>
      <c r="H159" s="49">
        <f t="shared" si="18"/>
        <v>300263</v>
      </c>
      <c r="I159" s="24" t="s">
        <v>445</v>
      </c>
      <c r="J159" s="43"/>
    </row>
    <row r="160" spans="1:10" s="6" customFormat="1" ht="12" customHeight="1" x14ac:dyDescent="0.3">
      <c r="A160" s="28"/>
      <c r="B160" s="27" t="s">
        <v>446</v>
      </c>
      <c r="C160" s="86">
        <v>0</v>
      </c>
      <c r="D160" s="84">
        <v>-100000</v>
      </c>
      <c r="E160" s="85">
        <v>0</v>
      </c>
      <c r="F160" s="68"/>
      <c r="G160" s="47">
        <v>0</v>
      </c>
      <c r="H160" s="47"/>
      <c r="I160" s="17" t="s">
        <v>447</v>
      </c>
      <c r="J160" s="28"/>
    </row>
    <row r="161" spans="1:10" s="8" customFormat="1" ht="13" x14ac:dyDescent="0.3">
      <c r="A161" s="29"/>
      <c r="B161" s="12" t="s">
        <v>448</v>
      </c>
      <c r="C161" s="86">
        <v>100000</v>
      </c>
      <c r="D161" s="84"/>
      <c r="E161" s="85">
        <v>0</v>
      </c>
      <c r="F161" s="68"/>
      <c r="G161" s="47"/>
      <c r="H161" s="47"/>
      <c r="I161" s="17" t="s">
        <v>449</v>
      </c>
      <c r="J161" s="29"/>
    </row>
    <row r="162" spans="1:10" s="6" customFormat="1" ht="13" x14ac:dyDescent="0.3">
      <c r="A162" s="28"/>
      <c r="B162" s="12" t="s">
        <v>450</v>
      </c>
      <c r="C162" s="86">
        <f>C163+C164+C166+C167+C168+C169</f>
        <v>17706.97</v>
      </c>
      <c r="D162" s="86">
        <f>D163+D164+D165+D166+D167+D168+D169</f>
        <v>27634.760000000002</v>
      </c>
      <c r="E162" s="85">
        <f>E163+E164+E166+E167+E168+E169</f>
        <v>25355.35</v>
      </c>
      <c r="F162" s="68">
        <f>E162/G162</f>
        <v>1.8241258992805753</v>
      </c>
      <c r="G162" s="47">
        <f t="shared" ref="G162:H162" si="19">G163+G164+G166+G167+G168+G169</f>
        <v>13900</v>
      </c>
      <c r="H162" s="47">
        <f t="shared" si="19"/>
        <v>54650</v>
      </c>
      <c r="I162" s="21" t="s">
        <v>451</v>
      </c>
      <c r="J162" s="28"/>
    </row>
    <row r="163" spans="1:10" s="6" customFormat="1" outlineLevel="1" x14ac:dyDescent="0.25">
      <c r="A163" s="20" t="s">
        <v>452</v>
      </c>
      <c r="B163" s="18" t="s">
        <v>453</v>
      </c>
      <c r="C163" s="86">
        <f>14067.83-5867</f>
        <v>8200.83</v>
      </c>
      <c r="D163" s="84">
        <f>10362.35-2991.58</f>
        <v>7370.77</v>
      </c>
      <c r="E163" s="85">
        <v>19190.41</v>
      </c>
      <c r="F163" s="68">
        <f>E163/G163</f>
        <v>2.5587213333333332</v>
      </c>
      <c r="G163" s="47">
        <v>7500</v>
      </c>
      <c r="H163" s="47">
        <f>8500+34500</f>
        <v>43000</v>
      </c>
      <c r="I163" s="17" t="s">
        <v>454</v>
      </c>
      <c r="J163" s="20" t="s">
        <v>455</v>
      </c>
    </row>
    <row r="164" spans="1:10" s="6" customFormat="1" outlineLevel="1" x14ac:dyDescent="0.25">
      <c r="A164" s="20" t="s">
        <v>456</v>
      </c>
      <c r="B164" s="18" t="s">
        <v>457</v>
      </c>
      <c r="C164" s="86">
        <v>5867</v>
      </c>
      <c r="D164" s="84">
        <v>2991.58</v>
      </c>
      <c r="E164" s="85">
        <v>0</v>
      </c>
      <c r="F164" s="68"/>
      <c r="G164" s="47">
        <v>0</v>
      </c>
      <c r="H164" s="47">
        <v>0</v>
      </c>
      <c r="I164" s="17" t="s">
        <v>458</v>
      </c>
      <c r="J164" s="20" t="s">
        <v>459</v>
      </c>
    </row>
    <row r="165" spans="1:10" s="6" customFormat="1" outlineLevel="1" x14ac:dyDescent="0.25">
      <c r="A165" s="20"/>
      <c r="B165" s="18" t="s">
        <v>460</v>
      </c>
      <c r="C165" s="86"/>
      <c r="D165" s="84">
        <f>7756.8+3146</f>
        <v>10902.8</v>
      </c>
      <c r="E165" s="85">
        <v>3832.04</v>
      </c>
      <c r="F165" s="68"/>
      <c r="G165" s="47"/>
      <c r="H165" s="47"/>
      <c r="I165" s="17"/>
      <c r="J165" s="20"/>
    </row>
    <row r="166" spans="1:10" s="6" customFormat="1" ht="12.65" customHeight="1" outlineLevel="2" x14ac:dyDescent="0.25">
      <c r="A166" s="20" t="s">
        <v>461</v>
      </c>
      <c r="B166" s="18" t="s">
        <v>462</v>
      </c>
      <c r="C166" s="86">
        <v>1306.8399999999999</v>
      </c>
      <c r="D166" s="84">
        <v>2220.15</v>
      </c>
      <c r="E166" s="85">
        <v>2082.19</v>
      </c>
      <c r="F166" s="68">
        <f t="shared" ref="F166:F176" si="20">E166/G166</f>
        <v>0.94645000000000001</v>
      </c>
      <c r="G166" s="47">
        <v>2200</v>
      </c>
      <c r="H166" s="47">
        <v>4400</v>
      </c>
      <c r="I166" s="17" t="s">
        <v>463</v>
      </c>
      <c r="J166" s="20" t="s">
        <v>464</v>
      </c>
    </row>
    <row r="167" spans="1:10" s="6" customFormat="1" outlineLevel="2" x14ac:dyDescent="0.25">
      <c r="A167" s="20">
        <v>3232.38</v>
      </c>
      <c r="B167" s="18" t="s">
        <v>465</v>
      </c>
      <c r="C167" s="86">
        <v>1277.8</v>
      </c>
      <c r="D167" s="84">
        <v>3030.21</v>
      </c>
      <c r="E167" s="85">
        <v>3232.38</v>
      </c>
      <c r="F167" s="68">
        <f t="shared" si="20"/>
        <v>1.0774600000000001</v>
      </c>
      <c r="G167" s="47">
        <v>3000</v>
      </c>
      <c r="H167" s="47">
        <v>6500</v>
      </c>
      <c r="I167" s="17" t="s">
        <v>466</v>
      </c>
      <c r="J167" s="20" t="s">
        <v>467</v>
      </c>
    </row>
    <row r="168" spans="1:10" s="6" customFormat="1" outlineLevel="2" x14ac:dyDescent="0.25">
      <c r="A168" s="20" t="s">
        <v>468</v>
      </c>
      <c r="B168" s="18" t="s">
        <v>469</v>
      </c>
      <c r="C168" s="86">
        <v>446.96</v>
      </c>
      <c r="D168" s="84">
        <v>537.17999999999995</v>
      </c>
      <c r="E168" s="85">
        <v>268.35000000000002</v>
      </c>
      <c r="F168" s="68">
        <f t="shared" si="20"/>
        <v>0.53670000000000007</v>
      </c>
      <c r="G168" s="47">
        <v>500</v>
      </c>
      <c r="H168" s="47">
        <v>250</v>
      </c>
      <c r="I168" s="17" t="s">
        <v>470</v>
      </c>
      <c r="J168" s="20" t="s">
        <v>471</v>
      </c>
    </row>
    <row r="169" spans="1:10" s="6" customFormat="1" outlineLevel="2" x14ac:dyDescent="0.25">
      <c r="A169" s="28" t="s">
        <v>472</v>
      </c>
      <c r="B169" s="18" t="s">
        <v>473</v>
      </c>
      <c r="C169" s="86">
        <f>303.77+303.77</f>
        <v>607.54</v>
      </c>
      <c r="D169" s="84">
        <v>582.07000000000005</v>
      </c>
      <c r="E169" s="85">
        <f>472.12+109.9</f>
        <v>582.02</v>
      </c>
      <c r="F169" s="68">
        <f t="shared" si="20"/>
        <v>0.83145714285714278</v>
      </c>
      <c r="G169" s="47">
        <v>700</v>
      </c>
      <c r="H169" s="47">
        <v>500</v>
      </c>
      <c r="I169" s="17" t="s">
        <v>474</v>
      </c>
      <c r="J169" s="20" t="s">
        <v>475</v>
      </c>
    </row>
    <row r="170" spans="1:10" s="6" customFormat="1" ht="13" x14ac:dyDescent="0.3">
      <c r="A170" s="20"/>
      <c r="B170" s="12" t="s">
        <v>476</v>
      </c>
      <c r="C170" s="86">
        <f>SUM(C171:C177)</f>
        <v>37672.51</v>
      </c>
      <c r="D170" s="86">
        <f>D171+D172+D173+D174+D175+D176+D177</f>
        <v>15183.369999999999</v>
      </c>
      <c r="E170" s="85">
        <f t="shared" ref="E170" si="21">E171+E172+E173+E174+E175+E176+E177</f>
        <v>11996.84</v>
      </c>
      <c r="F170" s="68">
        <f t="shared" si="20"/>
        <v>1.0906218181818181</v>
      </c>
      <c r="G170" s="47">
        <f t="shared" ref="G170:H170" si="22">G171+G172+G173+G174+G175+G176+G177</f>
        <v>11000</v>
      </c>
      <c r="H170" s="47">
        <f t="shared" si="22"/>
        <v>13200</v>
      </c>
      <c r="I170" s="17" t="s">
        <v>477</v>
      </c>
      <c r="J170" s="20"/>
    </row>
    <row r="171" spans="1:10" s="6" customFormat="1" ht="37.5" outlineLevel="1" x14ac:dyDescent="0.25">
      <c r="A171" s="20" t="s">
        <v>478</v>
      </c>
      <c r="B171" s="18" t="s">
        <v>479</v>
      </c>
      <c r="C171" s="86">
        <v>8048.82</v>
      </c>
      <c r="D171" s="84">
        <v>469.41</v>
      </c>
      <c r="E171" s="85">
        <v>2191.23</v>
      </c>
      <c r="F171" s="68">
        <f t="shared" si="20"/>
        <v>0.73041</v>
      </c>
      <c r="G171" s="47">
        <v>3000</v>
      </c>
      <c r="H171" s="47">
        <f>3000+2200</f>
        <v>5200</v>
      </c>
      <c r="I171" s="17" t="s">
        <v>480</v>
      </c>
      <c r="J171" s="20" t="s">
        <v>481</v>
      </c>
    </row>
    <row r="172" spans="1:10" s="6" customFormat="1" outlineLevel="1" x14ac:dyDescent="0.25">
      <c r="A172" s="20" t="s">
        <v>482</v>
      </c>
      <c r="B172" s="18" t="s">
        <v>483</v>
      </c>
      <c r="C172" s="86">
        <v>2743.08</v>
      </c>
      <c r="D172" s="84">
        <v>2755.26</v>
      </c>
      <c r="E172" s="85">
        <v>2758.33</v>
      </c>
      <c r="F172" s="68">
        <f t="shared" si="20"/>
        <v>1.103332</v>
      </c>
      <c r="G172" s="47">
        <v>2500</v>
      </c>
      <c r="H172" s="47">
        <v>2500</v>
      </c>
      <c r="I172" s="17" t="s">
        <v>484</v>
      </c>
      <c r="J172" s="20" t="s">
        <v>485</v>
      </c>
    </row>
    <row r="173" spans="1:10" s="6" customFormat="1" outlineLevel="1" x14ac:dyDescent="0.25">
      <c r="A173" s="20" t="s">
        <v>486</v>
      </c>
      <c r="B173" s="18" t="s">
        <v>487</v>
      </c>
      <c r="C173" s="86">
        <v>15235.71</v>
      </c>
      <c r="D173" s="84">
        <v>1873.06</v>
      </c>
      <c r="E173" s="85">
        <f>1632.71+393.25</f>
        <v>2025.96</v>
      </c>
      <c r="F173" s="68">
        <f t="shared" si="20"/>
        <v>1.3506400000000001</v>
      </c>
      <c r="G173" s="47">
        <v>1500</v>
      </c>
      <c r="H173" s="47">
        <v>2000</v>
      </c>
      <c r="I173" s="17" t="s">
        <v>488</v>
      </c>
      <c r="J173" s="20" t="s">
        <v>489</v>
      </c>
    </row>
    <row r="174" spans="1:10" s="6" customFormat="1" outlineLevel="1" x14ac:dyDescent="0.25">
      <c r="A174" s="20" t="s">
        <v>490</v>
      </c>
      <c r="B174" s="18" t="s">
        <v>491</v>
      </c>
      <c r="C174" s="86">
        <v>5217</v>
      </c>
      <c r="D174" s="84">
        <v>406.42</v>
      </c>
      <c r="E174" s="85">
        <v>1851.08</v>
      </c>
      <c r="F174" s="68">
        <f t="shared" si="20"/>
        <v>3.7021599999999997</v>
      </c>
      <c r="G174" s="47">
        <v>500</v>
      </c>
      <c r="H174" s="47">
        <v>0</v>
      </c>
      <c r="I174" s="17" t="s">
        <v>492</v>
      </c>
      <c r="J174" s="20" t="s">
        <v>493</v>
      </c>
    </row>
    <row r="175" spans="1:10" s="6" customFormat="1" outlineLevel="1" x14ac:dyDescent="0.25">
      <c r="A175" s="20" t="s">
        <v>494</v>
      </c>
      <c r="B175" s="18" t="s">
        <v>495</v>
      </c>
      <c r="C175" s="86">
        <v>245</v>
      </c>
      <c r="D175" s="84">
        <v>489.84</v>
      </c>
      <c r="E175" s="85">
        <v>129.78</v>
      </c>
      <c r="F175" s="68">
        <f t="shared" si="20"/>
        <v>0.43259999999999998</v>
      </c>
      <c r="G175" s="47">
        <v>300</v>
      </c>
      <c r="H175" s="47">
        <v>300</v>
      </c>
      <c r="I175" s="17" t="s">
        <v>496</v>
      </c>
      <c r="J175" s="20" t="s">
        <v>497</v>
      </c>
    </row>
    <row r="176" spans="1:10" s="6" customFormat="1" outlineLevel="1" x14ac:dyDescent="0.25">
      <c r="A176" s="20" t="s">
        <v>498</v>
      </c>
      <c r="B176" s="18" t="s">
        <v>499</v>
      </c>
      <c r="C176" s="86">
        <f>3764.17-303.77</f>
        <v>3460.4</v>
      </c>
      <c r="D176" s="84">
        <v>3182.64</v>
      </c>
      <c r="E176" s="85">
        <v>3040.46</v>
      </c>
      <c r="F176" s="68">
        <f t="shared" si="20"/>
        <v>0.95014375000000006</v>
      </c>
      <c r="G176" s="47">
        <v>3200</v>
      </c>
      <c r="H176" s="47">
        <v>3200</v>
      </c>
      <c r="I176" s="17" t="s">
        <v>500</v>
      </c>
      <c r="J176" s="20" t="s">
        <v>501</v>
      </c>
    </row>
    <row r="177" spans="1:10" s="6" customFormat="1" outlineLevel="1" x14ac:dyDescent="0.25">
      <c r="A177" s="20" t="s">
        <v>502</v>
      </c>
      <c r="B177" s="18" t="s">
        <v>503</v>
      </c>
      <c r="C177" s="86">
        <v>2722.5</v>
      </c>
      <c r="D177" s="84">
        <v>6006.74</v>
      </c>
      <c r="E177" s="85">
        <v>0</v>
      </c>
      <c r="F177" s="68"/>
      <c r="G177" s="47">
        <v>0</v>
      </c>
      <c r="H177" s="47">
        <v>0</v>
      </c>
      <c r="I177" s="17" t="s">
        <v>504</v>
      </c>
      <c r="J177" s="20" t="s">
        <v>505</v>
      </c>
    </row>
    <row r="178" spans="1:10" s="6" customFormat="1" ht="13" x14ac:dyDescent="0.3">
      <c r="A178" s="28"/>
      <c r="B178" s="12" t="s">
        <v>506</v>
      </c>
      <c r="C178" s="86">
        <f>C179+C180+C181</f>
        <v>9362.26</v>
      </c>
      <c r="D178" s="86">
        <f>D179+D180+D181</f>
        <v>11967.28</v>
      </c>
      <c r="E178" s="85">
        <f t="shared" ref="E178" si="23">E179+E180+E181</f>
        <v>9820.130000000001</v>
      </c>
      <c r="F178" s="68">
        <f t="shared" ref="F178:F192" si="24">E178/G178</f>
        <v>1.190318787878788</v>
      </c>
      <c r="G178" s="47">
        <f t="shared" ref="G178:H178" si="25">G179+G180+G181</f>
        <v>8250</v>
      </c>
      <c r="H178" s="47">
        <f t="shared" si="25"/>
        <v>9750</v>
      </c>
      <c r="I178" s="21" t="s">
        <v>507</v>
      </c>
      <c r="J178" s="28"/>
    </row>
    <row r="179" spans="1:10" s="6" customFormat="1" outlineLevel="1" x14ac:dyDescent="0.25">
      <c r="A179" s="20" t="s">
        <v>508</v>
      </c>
      <c r="B179" s="18" t="s">
        <v>509</v>
      </c>
      <c r="C179" s="86">
        <v>7075.64</v>
      </c>
      <c r="D179" s="84">
        <v>8524.92</v>
      </c>
      <c r="E179" s="85">
        <v>5157.1099999999997</v>
      </c>
      <c r="F179" s="68">
        <f t="shared" si="24"/>
        <v>0.93765636363636362</v>
      </c>
      <c r="G179" s="47">
        <v>5500</v>
      </c>
      <c r="H179" s="47">
        <v>5100</v>
      </c>
      <c r="I179" s="17" t="s">
        <v>507</v>
      </c>
      <c r="J179" s="20" t="s">
        <v>510</v>
      </c>
    </row>
    <row r="180" spans="1:10" s="6" customFormat="1" outlineLevel="1" x14ac:dyDescent="0.25">
      <c r="A180" s="20" t="s">
        <v>511</v>
      </c>
      <c r="B180" s="18" t="s">
        <v>512</v>
      </c>
      <c r="C180" s="86">
        <v>2163.21</v>
      </c>
      <c r="D180" s="84">
        <v>3239.35</v>
      </c>
      <c r="E180" s="85">
        <v>4440.25</v>
      </c>
      <c r="F180" s="68">
        <f t="shared" si="24"/>
        <v>1.7761</v>
      </c>
      <c r="G180" s="47">
        <v>2500</v>
      </c>
      <c r="H180" s="47">
        <f>4400</f>
        <v>4400</v>
      </c>
      <c r="I180" s="17" t="s">
        <v>513</v>
      </c>
      <c r="J180" s="20" t="s">
        <v>514</v>
      </c>
    </row>
    <row r="181" spans="1:10" s="6" customFormat="1" outlineLevel="1" x14ac:dyDescent="0.25">
      <c r="A181" s="20" t="s">
        <v>515</v>
      </c>
      <c r="B181" s="18" t="s">
        <v>516</v>
      </c>
      <c r="C181" s="86">
        <v>123.41</v>
      </c>
      <c r="D181" s="84">
        <f>536.01-333</f>
        <v>203.01</v>
      </c>
      <c r="E181" s="85">
        <v>222.77</v>
      </c>
      <c r="F181" s="68">
        <f t="shared" si="24"/>
        <v>0.89108000000000009</v>
      </c>
      <c r="G181" s="47">
        <v>250</v>
      </c>
      <c r="H181" s="47">
        <v>250</v>
      </c>
      <c r="I181" s="17" t="s">
        <v>517</v>
      </c>
      <c r="J181" s="20" t="s">
        <v>518</v>
      </c>
    </row>
    <row r="182" spans="1:10" s="6" customFormat="1" ht="13" x14ac:dyDescent="0.3">
      <c r="A182" s="20"/>
      <c r="B182" s="25" t="s">
        <v>519</v>
      </c>
      <c r="C182" s="86">
        <f>C183+C184</f>
        <v>26678.190000000002</v>
      </c>
      <c r="D182" s="86">
        <f>D183+D184</f>
        <v>23132</v>
      </c>
      <c r="E182" s="85">
        <f t="shared" ref="E182" si="26">E183+E184</f>
        <v>22930.36</v>
      </c>
      <c r="F182" s="68">
        <f t="shared" si="24"/>
        <v>0.95543166666666668</v>
      </c>
      <c r="G182" s="47">
        <f t="shared" ref="G182:H182" si="27">G183+G184</f>
        <v>24000</v>
      </c>
      <c r="H182" s="47">
        <f t="shared" si="27"/>
        <v>21200</v>
      </c>
      <c r="I182" s="17" t="s">
        <v>520</v>
      </c>
      <c r="J182" s="20"/>
    </row>
    <row r="183" spans="1:10" s="6" customFormat="1" ht="25" outlineLevel="1" x14ac:dyDescent="0.25">
      <c r="A183" s="20" t="s">
        <v>521</v>
      </c>
      <c r="B183" s="22" t="s">
        <v>522</v>
      </c>
      <c r="C183" s="86">
        <v>15964.15</v>
      </c>
      <c r="D183" s="84">
        <v>11001.09</v>
      </c>
      <c r="E183" s="85">
        <v>15107.73</v>
      </c>
      <c r="F183" s="68">
        <f t="shared" si="24"/>
        <v>1.2589774999999999</v>
      </c>
      <c r="G183" s="47">
        <v>12000</v>
      </c>
      <c r="H183" s="47">
        <v>15000</v>
      </c>
      <c r="I183" s="17" t="s">
        <v>523</v>
      </c>
      <c r="J183" s="20" t="s">
        <v>524</v>
      </c>
    </row>
    <row r="184" spans="1:10" s="6" customFormat="1" outlineLevel="1" x14ac:dyDescent="0.25">
      <c r="A184" s="20" t="s">
        <v>525</v>
      </c>
      <c r="B184" s="22" t="s">
        <v>526</v>
      </c>
      <c r="C184" s="86">
        <v>10714.04</v>
      </c>
      <c r="D184" s="84">
        <v>12130.91</v>
      </c>
      <c r="E184" s="85">
        <v>7822.63</v>
      </c>
      <c r="F184" s="68">
        <f t="shared" si="24"/>
        <v>0.65188583333333339</v>
      </c>
      <c r="G184" s="47">
        <v>12000</v>
      </c>
      <c r="H184" s="47">
        <v>6200</v>
      </c>
      <c r="I184" s="17" t="s">
        <v>527</v>
      </c>
      <c r="J184" s="20" t="s">
        <v>528</v>
      </c>
    </row>
    <row r="185" spans="1:10" s="6" customFormat="1" ht="13" x14ac:dyDescent="0.3">
      <c r="A185" s="20" t="s">
        <v>529</v>
      </c>
      <c r="B185" s="12" t="s">
        <v>530</v>
      </c>
      <c r="C185" s="86">
        <v>43630.96</v>
      </c>
      <c r="D185" s="84">
        <v>45133.81</v>
      </c>
      <c r="E185" s="85">
        <v>49082.1</v>
      </c>
      <c r="F185" s="68">
        <f t="shared" si="24"/>
        <v>2.2670715935334873</v>
      </c>
      <c r="G185" s="47">
        <f>25100-4000+550</f>
        <v>21650</v>
      </c>
      <c r="H185" s="47">
        <v>20251</v>
      </c>
      <c r="I185" s="21" t="s">
        <v>531</v>
      </c>
      <c r="J185" s="20" t="s">
        <v>532</v>
      </c>
    </row>
    <row r="186" spans="1:10" s="6" customFormat="1" ht="13.5" customHeight="1" x14ac:dyDescent="0.3">
      <c r="A186" s="20"/>
      <c r="B186" s="12" t="s">
        <v>533</v>
      </c>
      <c r="C186" s="86">
        <f>C187+C188+C189</f>
        <v>15181.52</v>
      </c>
      <c r="D186" s="84">
        <f>D187+D188+D189</f>
        <v>19802.23</v>
      </c>
      <c r="E186" s="85">
        <f>E187+E188+E189</f>
        <v>17554.370000000003</v>
      </c>
      <c r="F186" s="68">
        <f t="shared" si="24"/>
        <v>1.0971481250000001</v>
      </c>
      <c r="G186" s="47">
        <f t="shared" ref="G186:H186" si="28">G187+G188+G189</f>
        <v>16000</v>
      </c>
      <c r="H186" s="47">
        <f t="shared" si="28"/>
        <v>15600</v>
      </c>
      <c r="I186" s="21" t="s">
        <v>59</v>
      </c>
      <c r="J186" s="20"/>
    </row>
    <row r="187" spans="1:10" s="6" customFormat="1" outlineLevel="1" x14ac:dyDescent="0.25">
      <c r="A187" s="20" t="s">
        <v>534</v>
      </c>
      <c r="B187" s="18" t="s">
        <v>535</v>
      </c>
      <c r="C187" s="86">
        <f>4652.72-1391.21</f>
        <v>3261.51</v>
      </c>
      <c r="D187" s="84">
        <v>2316.04</v>
      </c>
      <c r="E187" s="85">
        <f>2840.17+35.32</f>
        <v>2875.4900000000002</v>
      </c>
      <c r="F187" s="68">
        <f t="shared" si="24"/>
        <v>0.82156857142857154</v>
      </c>
      <c r="G187" s="47">
        <v>3500</v>
      </c>
      <c r="H187" s="47">
        <v>3000</v>
      </c>
      <c r="I187" s="17" t="s">
        <v>536</v>
      </c>
      <c r="J187" s="20" t="s">
        <v>537</v>
      </c>
    </row>
    <row r="188" spans="1:10" s="6" customFormat="1" outlineLevel="1" x14ac:dyDescent="0.25">
      <c r="A188" s="20"/>
      <c r="B188" s="18" t="s">
        <v>538</v>
      </c>
      <c r="C188" s="86">
        <f>1400.49+1391.21+2810.24</f>
        <v>5601.94</v>
      </c>
      <c r="D188" s="84">
        <v>5600.98</v>
      </c>
      <c r="E188" s="85">
        <v>7864.47</v>
      </c>
      <c r="F188" s="68">
        <f t="shared" si="24"/>
        <v>1.310745</v>
      </c>
      <c r="G188" s="47">
        <v>6000</v>
      </c>
      <c r="H188" s="47">
        <v>6000</v>
      </c>
      <c r="I188" s="17" t="s">
        <v>539</v>
      </c>
      <c r="J188" s="20"/>
    </row>
    <row r="189" spans="1:10" s="6" customFormat="1" outlineLevel="1" x14ac:dyDescent="0.25">
      <c r="A189" s="20" t="s">
        <v>540</v>
      </c>
      <c r="B189" s="18" t="s">
        <v>541</v>
      </c>
      <c r="C189" s="86">
        <v>6318.07</v>
      </c>
      <c r="D189" s="84">
        <v>11885.21</v>
      </c>
      <c r="E189" s="85">
        <v>6814.41</v>
      </c>
      <c r="F189" s="68">
        <f t="shared" si="24"/>
        <v>1.0483707692307691</v>
      </c>
      <c r="G189" s="47">
        <v>6500</v>
      </c>
      <c r="H189" s="47">
        <v>6600</v>
      </c>
      <c r="I189" s="17" t="s">
        <v>542</v>
      </c>
      <c r="J189" s="20" t="s">
        <v>543</v>
      </c>
    </row>
    <row r="190" spans="1:10" s="6" customFormat="1" ht="13" x14ac:dyDescent="0.3">
      <c r="A190" s="20" t="s">
        <v>544</v>
      </c>
      <c r="B190" s="25" t="s">
        <v>545</v>
      </c>
      <c r="C190" s="86">
        <v>247493.12</v>
      </c>
      <c r="D190" s="84">
        <v>269885.89</v>
      </c>
      <c r="E190" s="85">
        <v>273892.34000000003</v>
      </c>
      <c r="F190" s="68">
        <f t="shared" si="24"/>
        <v>0.99778630236794186</v>
      </c>
      <c r="G190" s="47">
        <v>274500</v>
      </c>
      <c r="H190" s="47">
        <v>311000</v>
      </c>
      <c r="I190" s="21" t="s">
        <v>546</v>
      </c>
      <c r="J190" s="20" t="s">
        <v>547</v>
      </c>
    </row>
    <row r="191" spans="1:10" s="6" customFormat="1" ht="27.75" customHeight="1" x14ac:dyDescent="0.3">
      <c r="A191" s="20" t="s">
        <v>548</v>
      </c>
      <c r="B191" s="12" t="s">
        <v>549</v>
      </c>
      <c r="C191" s="86">
        <f>C192+C193+C194+C195+C196+C197+C198</f>
        <v>7758.15</v>
      </c>
      <c r="D191" s="86">
        <f>D192+D193+D194+D195+D196+D197+D198</f>
        <v>22338.27</v>
      </c>
      <c r="E191" s="85">
        <f t="shared" ref="E191" si="29">E192+E193+E194+E195+E196+E197+E198</f>
        <v>42743.789999999994</v>
      </c>
      <c r="F191" s="68">
        <f t="shared" si="24"/>
        <v>0.91551983379026713</v>
      </c>
      <c r="G191" s="47">
        <f t="shared" ref="G191:H191" si="30">G192+G193+G194+G195+G196+G197+G198</f>
        <v>46688</v>
      </c>
      <c r="H191" s="47">
        <f t="shared" si="30"/>
        <v>35064</v>
      </c>
      <c r="I191" s="21" t="s">
        <v>550</v>
      </c>
      <c r="J191" s="20" t="s">
        <v>551</v>
      </c>
    </row>
    <row r="192" spans="1:10" s="6" customFormat="1" outlineLevel="1" x14ac:dyDescent="0.25">
      <c r="A192" s="20"/>
      <c r="B192" s="18" t="s">
        <v>552</v>
      </c>
      <c r="C192" s="86"/>
      <c r="D192" s="84">
        <v>15782.33</v>
      </c>
      <c r="E192" s="85">
        <v>31564.67</v>
      </c>
      <c r="F192" s="68">
        <f t="shared" si="24"/>
        <v>1.0000212267139779</v>
      </c>
      <c r="G192" s="47">
        <f>15782*2</f>
        <v>31564</v>
      </c>
      <c r="H192" s="47">
        <v>31564</v>
      </c>
      <c r="I192" s="17" t="s">
        <v>553</v>
      </c>
      <c r="J192" s="20"/>
    </row>
    <row r="193" spans="1:10" s="6" customFormat="1" outlineLevel="1" x14ac:dyDescent="0.25">
      <c r="A193" s="20"/>
      <c r="B193" s="18" t="s">
        <v>554</v>
      </c>
      <c r="C193" s="86"/>
      <c r="D193" s="84">
        <v>0</v>
      </c>
      <c r="E193" s="87"/>
      <c r="F193" s="68"/>
      <c r="G193" s="47"/>
      <c r="H193" s="47"/>
      <c r="I193" s="17" t="s">
        <v>555</v>
      </c>
      <c r="J193" s="20"/>
    </row>
    <row r="194" spans="1:10" s="6" customFormat="1" outlineLevel="1" x14ac:dyDescent="0.25">
      <c r="A194" s="20"/>
      <c r="B194" s="18" t="s">
        <v>556</v>
      </c>
      <c r="C194" s="86">
        <v>4751.58</v>
      </c>
      <c r="D194" s="84">
        <v>1993.16</v>
      </c>
      <c r="E194" s="85">
        <v>2053.56</v>
      </c>
      <c r="F194" s="68">
        <f>E194/G194</f>
        <v>0.82142399999999993</v>
      </c>
      <c r="G194" s="47">
        <v>2500</v>
      </c>
      <c r="H194" s="47"/>
      <c r="I194" s="17" t="s">
        <v>557</v>
      </c>
      <c r="J194" s="20"/>
    </row>
    <row r="195" spans="1:10" s="6" customFormat="1" outlineLevel="1" x14ac:dyDescent="0.25">
      <c r="A195" s="20"/>
      <c r="B195" s="18" t="s">
        <v>558</v>
      </c>
      <c r="C195" s="86"/>
      <c r="D195" s="84">
        <v>4562.78</v>
      </c>
      <c r="E195" s="85">
        <v>9125.56</v>
      </c>
      <c r="F195" s="68">
        <f>E195/G195</f>
        <v>1.0001709776413854</v>
      </c>
      <c r="G195" s="47">
        <f>4562*2</f>
        <v>9124</v>
      </c>
      <c r="H195" s="47"/>
      <c r="I195" s="17" t="s">
        <v>559</v>
      </c>
      <c r="J195" s="20"/>
    </row>
    <row r="196" spans="1:10" s="6" customFormat="1" ht="12" customHeight="1" outlineLevel="1" x14ac:dyDescent="0.25">
      <c r="A196" s="20"/>
      <c r="B196" s="18" t="s">
        <v>560</v>
      </c>
      <c r="C196" s="86"/>
      <c r="D196" s="84">
        <v>0</v>
      </c>
      <c r="E196" s="87"/>
      <c r="F196" s="68"/>
      <c r="G196" s="47"/>
      <c r="H196" s="47"/>
      <c r="I196" s="17" t="s">
        <v>561</v>
      </c>
      <c r="J196" s="20"/>
    </row>
    <row r="197" spans="1:10" s="6" customFormat="1" outlineLevel="1" x14ac:dyDescent="0.25">
      <c r="A197" s="20" t="s">
        <v>562</v>
      </c>
      <c r="B197" s="18" t="s">
        <v>563</v>
      </c>
      <c r="C197" s="86">
        <v>3006.57</v>
      </c>
      <c r="D197" s="84">
        <v>0</v>
      </c>
      <c r="E197" s="87"/>
      <c r="F197" s="68">
        <f>E197/G197</f>
        <v>0</v>
      </c>
      <c r="G197" s="47">
        <v>3500</v>
      </c>
      <c r="H197" s="47">
        <v>3500</v>
      </c>
      <c r="I197" s="17" t="s">
        <v>564</v>
      </c>
      <c r="J197" s="20" t="s">
        <v>565</v>
      </c>
    </row>
    <row r="198" spans="1:10" s="6" customFormat="1" outlineLevel="1" x14ac:dyDescent="0.25">
      <c r="A198" s="20"/>
      <c r="B198" s="18" t="s">
        <v>566</v>
      </c>
      <c r="C198" s="86"/>
      <c r="D198" s="84"/>
      <c r="E198" s="87"/>
      <c r="F198" s="68"/>
      <c r="G198" s="47"/>
      <c r="H198" s="47"/>
      <c r="I198" s="17" t="s">
        <v>567</v>
      </c>
      <c r="J198" s="20"/>
    </row>
    <row r="199" spans="1:10" s="6" customFormat="1" ht="26.25" customHeight="1" x14ac:dyDescent="0.3">
      <c r="A199" s="28"/>
      <c r="B199" s="30" t="s">
        <v>568</v>
      </c>
      <c r="C199" s="86">
        <f>SUM(C200:C209)</f>
        <v>14357.230000000001</v>
      </c>
      <c r="D199" s="86">
        <f>D200+D201+D202+D203+D204+D205+D206+D207+D208</f>
        <v>33859.25</v>
      </c>
      <c r="E199" s="85">
        <f t="shared" ref="E199" si="31">E200+E201+E202+E203+E204+E205+E206+E207+E208</f>
        <v>37413.659999999996</v>
      </c>
      <c r="F199" s="68">
        <f>E199/G199</f>
        <v>1.3267255319148934</v>
      </c>
      <c r="G199" s="47">
        <f>G200+G201+G202+G203+G204+G205+G206+G207+G208</f>
        <v>28200</v>
      </c>
      <c r="H199" s="47">
        <f>H200+H201+H202+H203+H204+H205+H206+H207+H208</f>
        <v>29100</v>
      </c>
      <c r="I199" s="21" t="s">
        <v>569</v>
      </c>
      <c r="J199" s="28"/>
    </row>
    <row r="200" spans="1:10" s="6" customFormat="1" ht="14" customHeight="1" outlineLevel="1" x14ac:dyDescent="0.25">
      <c r="A200" s="20" t="s">
        <v>570</v>
      </c>
      <c r="B200" s="31" t="s">
        <v>571</v>
      </c>
      <c r="C200" s="86">
        <v>132.77000000000001</v>
      </c>
      <c r="D200" s="84">
        <v>0.01</v>
      </c>
      <c r="E200" s="85">
        <v>0</v>
      </c>
      <c r="F200" s="68">
        <f>E200/G200</f>
        <v>0</v>
      </c>
      <c r="G200" s="47">
        <v>200</v>
      </c>
      <c r="H200" s="47">
        <v>200</v>
      </c>
      <c r="I200" s="17" t="s">
        <v>572</v>
      </c>
      <c r="J200" s="20" t="s">
        <v>573</v>
      </c>
    </row>
    <row r="201" spans="1:10" s="6" customFormat="1" outlineLevel="1" x14ac:dyDescent="0.25">
      <c r="A201" s="20" t="s">
        <v>574</v>
      </c>
      <c r="B201" s="31" t="s">
        <v>575</v>
      </c>
      <c r="C201" s="86">
        <v>6586.4</v>
      </c>
      <c r="D201" s="84">
        <v>7551.1</v>
      </c>
      <c r="E201" s="85">
        <v>9501.2199999999993</v>
      </c>
      <c r="F201" s="68">
        <f>E201/G201</f>
        <v>1.2668293333333331</v>
      </c>
      <c r="G201" s="47">
        <v>7500</v>
      </c>
      <c r="H201" s="47">
        <v>7500</v>
      </c>
      <c r="I201" s="17" t="s">
        <v>576</v>
      </c>
      <c r="J201" s="20" t="s">
        <v>577</v>
      </c>
    </row>
    <row r="202" spans="1:10" s="6" customFormat="1" outlineLevel="1" x14ac:dyDescent="0.25">
      <c r="A202" s="20" t="s">
        <v>578</v>
      </c>
      <c r="B202" s="31" t="s">
        <v>579</v>
      </c>
      <c r="C202" s="86">
        <v>900</v>
      </c>
      <c r="D202" s="84">
        <v>900</v>
      </c>
      <c r="E202" s="85">
        <v>900</v>
      </c>
      <c r="F202" s="68"/>
      <c r="G202" s="47">
        <v>0</v>
      </c>
      <c r="H202" s="47">
        <v>900</v>
      </c>
      <c r="I202" s="17" t="s">
        <v>580</v>
      </c>
      <c r="J202" s="20" t="s">
        <v>581</v>
      </c>
    </row>
    <row r="203" spans="1:10" s="6" customFormat="1" outlineLevel="1" x14ac:dyDescent="0.25">
      <c r="A203" s="20" t="s">
        <v>582</v>
      </c>
      <c r="B203" s="31" t="s">
        <v>583</v>
      </c>
      <c r="C203" s="86">
        <v>1070.72</v>
      </c>
      <c r="D203" s="84">
        <v>2385.84</v>
      </c>
      <c r="E203" s="85">
        <v>4085.92</v>
      </c>
      <c r="F203" s="68">
        <f>E203/G203</f>
        <v>1.7024666666666668</v>
      </c>
      <c r="G203" s="47">
        <v>2400</v>
      </c>
      <c r="H203" s="47">
        <v>2400</v>
      </c>
      <c r="I203" s="17" t="s">
        <v>584</v>
      </c>
      <c r="J203" s="20" t="s">
        <v>585</v>
      </c>
    </row>
    <row r="204" spans="1:10" s="6" customFormat="1" outlineLevel="1" x14ac:dyDescent="0.25">
      <c r="A204" s="20" t="s">
        <v>586</v>
      </c>
      <c r="B204" s="31" t="s">
        <v>587</v>
      </c>
      <c r="C204" s="86">
        <v>0</v>
      </c>
      <c r="D204" s="84">
        <v>13254.08</v>
      </c>
      <c r="E204" s="85">
        <v>0</v>
      </c>
      <c r="F204" s="68"/>
      <c r="G204" s="47">
        <v>0</v>
      </c>
      <c r="H204" s="47">
        <v>0</v>
      </c>
      <c r="I204" s="17" t="s">
        <v>588</v>
      </c>
      <c r="J204" s="20" t="s">
        <v>589</v>
      </c>
    </row>
    <row r="205" spans="1:10" s="6" customFormat="1" outlineLevel="1" x14ac:dyDescent="0.25">
      <c r="A205" s="20" t="s">
        <v>590</v>
      </c>
      <c r="B205" s="31" t="s">
        <v>591</v>
      </c>
      <c r="C205" s="86">
        <v>3328.78</v>
      </c>
      <c r="D205" s="84">
        <v>1059.75</v>
      </c>
      <c r="E205" s="85">
        <v>3466.96</v>
      </c>
      <c r="F205" s="68">
        <f>E205/G205</f>
        <v>1.1556533333333334</v>
      </c>
      <c r="G205" s="47">
        <v>3000</v>
      </c>
      <c r="H205" s="47">
        <v>3000</v>
      </c>
      <c r="I205" s="17" t="s">
        <v>592</v>
      </c>
      <c r="J205" s="20" t="s">
        <v>593</v>
      </c>
    </row>
    <row r="206" spans="1:10" s="6" customFormat="1" ht="25" outlineLevel="1" x14ac:dyDescent="0.25">
      <c r="A206" s="20" t="s">
        <v>594</v>
      </c>
      <c r="B206" s="32" t="s">
        <v>595</v>
      </c>
      <c r="C206" s="86">
        <v>0.62</v>
      </c>
      <c r="D206" s="84">
        <v>0</v>
      </c>
      <c r="E206" s="85">
        <v>271.66000000000003</v>
      </c>
      <c r="F206" s="68">
        <f>E206/G206</f>
        <v>2.7166000000000001</v>
      </c>
      <c r="G206" s="47">
        <v>100</v>
      </c>
      <c r="H206" s="47">
        <v>100</v>
      </c>
      <c r="I206" s="17" t="s">
        <v>596</v>
      </c>
      <c r="J206" s="20" t="s">
        <v>597</v>
      </c>
    </row>
    <row r="207" spans="1:10" s="6" customFormat="1" outlineLevel="1" x14ac:dyDescent="0.25">
      <c r="A207" s="20"/>
      <c r="B207" s="31" t="s">
        <v>598</v>
      </c>
      <c r="C207" s="86">
        <v>2337.94</v>
      </c>
      <c r="D207" s="84">
        <f>2747.33+6.5</f>
        <v>2753.83</v>
      </c>
      <c r="E207" s="85">
        <f>6655.19+42.5</f>
        <v>6697.69</v>
      </c>
      <c r="F207" s="68">
        <f>E207/G207</f>
        <v>2.2325633333333332</v>
      </c>
      <c r="G207" s="47">
        <v>3000</v>
      </c>
      <c r="H207" s="47">
        <v>3000</v>
      </c>
      <c r="I207" s="17" t="s">
        <v>599</v>
      </c>
      <c r="J207" s="20" t="s">
        <v>600</v>
      </c>
    </row>
    <row r="208" spans="1:10" s="6" customFormat="1" outlineLevel="1" x14ac:dyDescent="0.25">
      <c r="A208" s="20"/>
      <c r="B208" s="31" t="s">
        <v>601</v>
      </c>
      <c r="C208" s="86"/>
      <c r="D208" s="84">
        <f>3745.94+2208.7</f>
        <v>5954.6399999999994</v>
      </c>
      <c r="E208" s="85">
        <f>3620.66+8869.55</f>
        <v>12490.21</v>
      </c>
      <c r="F208" s="68">
        <f>E208/G208</f>
        <v>1.0408508333333333</v>
      </c>
      <c r="G208" s="47">
        <v>12000</v>
      </c>
      <c r="H208" s="47">
        <v>12000</v>
      </c>
      <c r="I208" s="17" t="s">
        <v>602</v>
      </c>
      <c r="J208" s="20"/>
    </row>
    <row r="209" spans="1:16368" s="6" customFormat="1" outlineLevel="1" x14ac:dyDescent="0.25">
      <c r="A209" s="20"/>
      <c r="B209" s="31" t="s">
        <v>603</v>
      </c>
      <c r="C209" s="86"/>
      <c r="D209" s="84">
        <v>0</v>
      </c>
      <c r="E209" s="87"/>
      <c r="F209" s="68"/>
      <c r="G209" s="47"/>
      <c r="H209" s="47"/>
      <c r="I209" s="17" t="s">
        <v>604</v>
      </c>
      <c r="J209" s="20"/>
    </row>
    <row r="210" spans="1:16368" s="6" customFormat="1" ht="15" customHeight="1" x14ac:dyDescent="0.3">
      <c r="A210" s="28"/>
      <c r="B210" s="30" t="s">
        <v>605</v>
      </c>
      <c r="C210" s="86">
        <f>C211+C212+C213+C214+C215+C216+C217+C219+C220+C221</f>
        <v>68553.320000000007</v>
      </c>
      <c r="D210" s="86">
        <f>D211+D212+D213+D214+D215+D216+D217+D219+D220+D221</f>
        <v>91238.12</v>
      </c>
      <c r="E210" s="85">
        <f>SUM(E211:E221)</f>
        <v>88673.88</v>
      </c>
      <c r="F210" s="68">
        <f>E210/G210</f>
        <v>1.0088040955631399</v>
      </c>
      <c r="G210" s="47">
        <f>SUM(G211:G221)</f>
        <v>87900</v>
      </c>
      <c r="H210" s="47">
        <f>SUM(H211:H221)</f>
        <v>86300</v>
      </c>
      <c r="I210" s="21" t="s">
        <v>606</v>
      </c>
      <c r="J210" s="28"/>
    </row>
    <row r="211" spans="1:16368" s="6" customFormat="1" outlineLevel="1" x14ac:dyDescent="0.25">
      <c r="A211" s="20" t="s">
        <v>607</v>
      </c>
      <c r="B211" s="31" t="s">
        <v>608</v>
      </c>
      <c r="C211" s="86">
        <f>16319.77+1291.52</f>
        <v>17611.29</v>
      </c>
      <c r="D211" s="84">
        <v>32646.03</v>
      </c>
      <c r="E211" s="85">
        <v>29813.03</v>
      </c>
      <c r="F211" s="68">
        <f>E211/G211</f>
        <v>0.75476025316455697</v>
      </c>
      <c r="G211" s="47">
        <v>39500</v>
      </c>
      <c r="H211" s="47">
        <v>40000</v>
      </c>
      <c r="I211" s="17" t="s">
        <v>609</v>
      </c>
      <c r="J211" s="20" t="s">
        <v>610</v>
      </c>
    </row>
    <row r="212" spans="1:16368" s="6" customFormat="1" outlineLevel="2" x14ac:dyDescent="0.25">
      <c r="A212" s="20"/>
      <c r="B212" s="31" t="s">
        <v>611</v>
      </c>
      <c r="C212" s="86">
        <v>30442.79</v>
      </c>
      <c r="D212" s="84">
        <f>39187-1799.21</f>
        <v>37387.79</v>
      </c>
      <c r="E212" s="85">
        <f>36300.04-1710.99</f>
        <v>34589.050000000003</v>
      </c>
      <c r="F212" s="68">
        <f>E212/G212</f>
        <v>1.1764982993197279</v>
      </c>
      <c r="G212" s="47">
        <v>29400</v>
      </c>
      <c r="H212" s="47">
        <v>27300</v>
      </c>
      <c r="I212" s="17" t="s">
        <v>612</v>
      </c>
      <c r="J212" s="20"/>
    </row>
    <row r="213" spans="1:16368" s="6" customFormat="1" outlineLevel="2" x14ac:dyDescent="0.25">
      <c r="A213" s="20"/>
      <c r="B213" s="31" t="s">
        <v>613</v>
      </c>
      <c r="C213" s="86">
        <v>2017.46</v>
      </c>
      <c r="D213" s="84">
        <v>1799.21</v>
      </c>
      <c r="E213" s="85">
        <v>1710.99</v>
      </c>
      <c r="F213" s="68">
        <f>E213/G213</f>
        <v>0.85549500000000001</v>
      </c>
      <c r="G213" s="47">
        <v>2000</v>
      </c>
      <c r="H213" s="47">
        <v>2000</v>
      </c>
      <c r="I213" s="17" t="s">
        <v>614</v>
      </c>
      <c r="J213" s="20"/>
    </row>
    <row r="214" spans="1:16368" s="6" customFormat="1" outlineLevel="2" x14ac:dyDescent="0.25">
      <c r="A214" s="20"/>
      <c r="B214" s="31" t="s">
        <v>615</v>
      </c>
      <c r="C214" s="86">
        <v>116356</v>
      </c>
      <c r="D214" s="84">
        <v>119981.97</v>
      </c>
      <c r="E214" s="85">
        <v>127510.06</v>
      </c>
      <c r="F214" s="68"/>
      <c r="G214" s="47"/>
      <c r="H214" s="47"/>
      <c r="I214" s="17" t="s">
        <v>616</v>
      </c>
      <c r="J214" s="20"/>
    </row>
    <row r="215" spans="1:16368" s="6" customFormat="1" outlineLevel="2" x14ac:dyDescent="0.25">
      <c r="A215" s="20"/>
      <c r="B215" s="31" t="s">
        <v>617</v>
      </c>
      <c r="C215" s="86"/>
      <c r="D215" s="84"/>
      <c r="E215" s="87"/>
      <c r="F215" s="68"/>
      <c r="G215" s="47"/>
      <c r="H215" s="47"/>
      <c r="I215" s="17" t="s">
        <v>618</v>
      </c>
      <c r="J215" s="20"/>
    </row>
    <row r="216" spans="1:16368" s="6" customFormat="1" ht="12" customHeight="1" outlineLevel="2" x14ac:dyDescent="0.25">
      <c r="A216" s="20"/>
      <c r="B216" s="31" t="s">
        <v>619</v>
      </c>
      <c r="C216" s="86">
        <v>-113871.24</v>
      </c>
      <c r="D216" s="84">
        <f>-C214</f>
        <v>-116356</v>
      </c>
      <c r="E216" s="85">
        <v>-119981.97</v>
      </c>
      <c r="F216" s="68"/>
      <c r="G216" s="47"/>
      <c r="H216" s="47"/>
      <c r="I216" s="17" t="s">
        <v>620</v>
      </c>
      <c r="J216" s="20"/>
    </row>
    <row r="217" spans="1:16368" s="6" customFormat="1" outlineLevel="2" x14ac:dyDescent="0.25">
      <c r="A217" s="20"/>
      <c r="B217" s="31" t="s">
        <v>621</v>
      </c>
      <c r="C217" s="86"/>
      <c r="D217" s="84"/>
      <c r="E217" s="87"/>
      <c r="F217" s="68"/>
      <c r="G217" s="47"/>
      <c r="H217" s="47"/>
      <c r="I217" s="17" t="s">
        <v>622</v>
      </c>
      <c r="J217" s="20"/>
    </row>
    <row r="218" spans="1:16368" s="6" customFormat="1" outlineLevel="2" x14ac:dyDescent="0.25">
      <c r="A218" s="20"/>
      <c r="B218" s="31" t="s">
        <v>623</v>
      </c>
      <c r="C218" s="86"/>
      <c r="D218" s="84"/>
      <c r="E218" s="87"/>
      <c r="F218" s="68"/>
      <c r="G218" s="47"/>
      <c r="H218" s="47"/>
      <c r="I218" s="17" t="s">
        <v>624</v>
      </c>
      <c r="J218" s="20"/>
    </row>
    <row r="219" spans="1:16368" s="6" customFormat="1" ht="13.5" customHeight="1" outlineLevel="2" x14ac:dyDescent="0.25">
      <c r="A219" s="20"/>
      <c r="B219" s="31" t="s">
        <v>625</v>
      </c>
      <c r="C219" s="86"/>
      <c r="D219" s="84"/>
      <c r="E219" s="87"/>
      <c r="F219" s="68"/>
      <c r="G219" s="47"/>
      <c r="H219" s="47"/>
      <c r="I219" s="17" t="s">
        <v>626</v>
      </c>
      <c r="J219" s="20"/>
    </row>
    <row r="220" spans="1:16368" s="6" customFormat="1" ht="13.5" customHeight="1" outlineLevel="2" x14ac:dyDescent="0.25">
      <c r="A220" s="31"/>
      <c r="B220" s="19" t="s">
        <v>627</v>
      </c>
      <c r="C220" s="84">
        <f>656.5+1865.31</f>
        <v>2521.81</v>
      </c>
      <c r="D220" s="96">
        <v>190</v>
      </c>
      <c r="E220" s="85">
        <f>260+101.98</f>
        <v>361.98</v>
      </c>
      <c r="F220" s="68">
        <f>E220/G220</f>
        <v>0.18099000000000001</v>
      </c>
      <c r="G220" s="47">
        <v>2000</v>
      </c>
      <c r="H220" s="47">
        <v>2000</v>
      </c>
      <c r="I220" s="17" t="s">
        <v>628</v>
      </c>
      <c r="J220" s="31"/>
      <c r="K220" s="67"/>
      <c r="L220" s="67"/>
      <c r="M220" s="31"/>
      <c r="N220" s="19"/>
      <c r="O220" s="67"/>
      <c r="P220" s="67"/>
      <c r="Q220" s="31"/>
      <c r="R220" s="19"/>
      <c r="S220" s="67"/>
      <c r="T220" s="67"/>
      <c r="U220" s="31"/>
      <c r="V220" s="19"/>
      <c r="W220" s="67"/>
      <c r="X220" s="67"/>
      <c r="Y220" s="31"/>
      <c r="Z220" s="19"/>
      <c r="AA220" s="67"/>
      <c r="AB220" s="67"/>
      <c r="AC220" s="31"/>
      <c r="AD220" s="19"/>
      <c r="AE220" s="67"/>
      <c r="AF220" s="67"/>
      <c r="AG220" s="31"/>
      <c r="AH220" s="19"/>
      <c r="AI220" s="67"/>
      <c r="AJ220" s="67"/>
      <c r="AK220" s="31"/>
      <c r="AL220" s="19"/>
      <c r="AM220" s="67"/>
      <c r="AN220" s="67"/>
      <c r="AO220" s="31"/>
      <c r="AP220" s="19"/>
      <c r="AQ220" s="67"/>
      <c r="AR220" s="67"/>
      <c r="AS220" s="31"/>
      <c r="AT220" s="19"/>
      <c r="AU220" s="67"/>
      <c r="AV220" s="67"/>
      <c r="AW220" s="31"/>
      <c r="AX220" s="19"/>
      <c r="AY220" s="67"/>
      <c r="AZ220" s="67"/>
      <c r="BA220" s="31"/>
      <c r="BB220" s="19"/>
      <c r="BC220" s="67"/>
      <c r="BD220" s="67"/>
      <c r="BE220" s="31"/>
      <c r="BF220" s="19"/>
      <c r="BG220" s="67"/>
      <c r="BH220" s="67"/>
      <c r="BI220" s="31"/>
      <c r="BJ220" s="19"/>
      <c r="BK220" s="67"/>
      <c r="BL220" s="67"/>
      <c r="BM220" s="31"/>
      <c r="BN220" s="19"/>
      <c r="BO220" s="67"/>
      <c r="BP220" s="67"/>
      <c r="BQ220" s="31"/>
      <c r="BR220" s="19"/>
      <c r="BS220" s="67"/>
      <c r="BT220" s="67"/>
      <c r="BU220" s="31"/>
      <c r="BV220" s="19"/>
      <c r="BW220" s="67"/>
      <c r="BX220" s="67"/>
      <c r="BY220" s="31"/>
      <c r="BZ220" s="19"/>
      <c r="CA220" s="67"/>
      <c r="CB220" s="67"/>
      <c r="CC220" s="31"/>
      <c r="CD220" s="19"/>
      <c r="CE220" s="67"/>
      <c r="CF220" s="67"/>
      <c r="CG220" s="31"/>
      <c r="CH220" s="19"/>
      <c r="CI220" s="67"/>
      <c r="CJ220" s="67"/>
      <c r="CK220" s="31"/>
      <c r="CL220" s="19"/>
      <c r="CM220" s="67"/>
      <c r="CN220" s="67"/>
      <c r="CO220" s="31"/>
      <c r="CP220" s="19"/>
      <c r="CQ220" s="67"/>
      <c r="CR220" s="67"/>
      <c r="CS220" s="31"/>
      <c r="CT220" s="19"/>
      <c r="CU220" s="67"/>
      <c r="CV220" s="67"/>
      <c r="CW220" s="31"/>
      <c r="CX220" s="19"/>
      <c r="CY220" s="67"/>
      <c r="CZ220" s="67"/>
      <c r="DA220" s="31"/>
      <c r="DB220" s="19"/>
      <c r="DC220" s="67"/>
      <c r="DD220" s="67"/>
      <c r="DE220" s="31"/>
      <c r="DF220" s="19"/>
      <c r="DG220" s="67"/>
      <c r="DH220" s="67"/>
      <c r="DI220" s="31"/>
      <c r="DJ220" s="19"/>
      <c r="DK220" s="67"/>
      <c r="DL220" s="67"/>
      <c r="DM220" s="31"/>
      <c r="DN220" s="19"/>
      <c r="DO220" s="67"/>
      <c r="DP220" s="67"/>
      <c r="DQ220" s="31"/>
      <c r="DR220" s="19"/>
      <c r="DS220" s="67"/>
      <c r="DT220" s="67"/>
      <c r="DU220" s="31"/>
      <c r="DV220" s="19"/>
      <c r="DW220" s="67"/>
      <c r="DX220" s="67"/>
      <c r="DY220" s="31"/>
      <c r="DZ220" s="19"/>
      <c r="EA220" s="67"/>
      <c r="EB220" s="67"/>
      <c r="EC220" s="31"/>
      <c r="ED220" s="19"/>
      <c r="EE220" s="67"/>
      <c r="EF220" s="67"/>
      <c r="EG220" s="31"/>
      <c r="EH220" s="19"/>
      <c r="EI220" s="67"/>
      <c r="EJ220" s="67"/>
      <c r="EK220" s="31"/>
      <c r="EL220" s="19"/>
      <c r="EM220" s="67"/>
      <c r="EN220" s="67"/>
      <c r="EO220" s="31"/>
      <c r="EP220" s="19"/>
      <c r="EQ220" s="67"/>
      <c r="ER220" s="67"/>
      <c r="ES220" s="31"/>
      <c r="ET220" s="19"/>
      <c r="EU220" s="67"/>
      <c r="EV220" s="67"/>
      <c r="EW220" s="31"/>
      <c r="EX220" s="19"/>
      <c r="EY220" s="67"/>
      <c r="EZ220" s="67"/>
      <c r="FA220" s="31"/>
      <c r="FB220" s="19"/>
      <c r="FC220" s="67"/>
      <c r="FD220" s="67"/>
      <c r="FE220" s="31"/>
      <c r="FF220" s="19"/>
      <c r="FG220" s="67"/>
      <c r="FH220" s="67"/>
      <c r="FI220" s="31"/>
      <c r="FJ220" s="19"/>
      <c r="FK220" s="67"/>
      <c r="FL220" s="67"/>
      <c r="FM220" s="31"/>
      <c r="FN220" s="19"/>
      <c r="FO220" s="67"/>
      <c r="FP220" s="67"/>
      <c r="FQ220" s="31"/>
      <c r="FR220" s="19"/>
      <c r="FS220" s="67"/>
      <c r="FT220" s="67"/>
      <c r="FU220" s="31"/>
      <c r="FV220" s="19"/>
      <c r="FW220" s="67"/>
      <c r="FX220" s="67"/>
      <c r="FY220" s="31"/>
      <c r="FZ220" s="19"/>
      <c r="GA220" s="67"/>
      <c r="GB220" s="67"/>
      <c r="GC220" s="31"/>
      <c r="GD220" s="19"/>
      <c r="GE220" s="67"/>
      <c r="GF220" s="67"/>
      <c r="GG220" s="31"/>
      <c r="GH220" s="19"/>
      <c r="GI220" s="67"/>
      <c r="GJ220" s="67"/>
      <c r="GK220" s="31"/>
      <c r="GL220" s="19"/>
      <c r="GM220" s="67"/>
      <c r="GN220" s="67"/>
      <c r="GO220" s="31"/>
      <c r="GP220" s="19"/>
      <c r="GQ220" s="67"/>
      <c r="GR220" s="67"/>
      <c r="GS220" s="31"/>
      <c r="GT220" s="19"/>
      <c r="GU220" s="67"/>
      <c r="GV220" s="67"/>
      <c r="GW220" s="31"/>
      <c r="GX220" s="19"/>
      <c r="GY220" s="67"/>
      <c r="GZ220" s="67"/>
      <c r="HA220" s="31"/>
      <c r="HB220" s="19"/>
      <c r="HC220" s="67"/>
      <c r="HD220" s="67"/>
      <c r="HE220" s="31"/>
      <c r="HF220" s="19"/>
      <c r="HG220" s="67"/>
      <c r="HH220" s="67"/>
      <c r="HI220" s="31"/>
      <c r="HJ220" s="19"/>
      <c r="HK220" s="67"/>
      <c r="HL220" s="67"/>
      <c r="HM220" s="31"/>
      <c r="HN220" s="19"/>
      <c r="HO220" s="67"/>
      <c r="HP220" s="67"/>
      <c r="HQ220" s="31"/>
      <c r="HR220" s="19"/>
      <c r="HS220" s="67"/>
      <c r="HT220" s="67"/>
      <c r="HU220" s="31"/>
      <c r="HV220" s="19"/>
      <c r="HW220" s="67"/>
      <c r="HX220" s="67"/>
      <c r="HY220" s="31"/>
      <c r="HZ220" s="19"/>
      <c r="IA220" s="67"/>
      <c r="IB220" s="67"/>
      <c r="IC220" s="31"/>
      <c r="ID220" s="19"/>
      <c r="IE220" s="67"/>
      <c r="IF220" s="67"/>
      <c r="IG220" s="31"/>
      <c r="IH220" s="19"/>
      <c r="II220" s="67"/>
      <c r="IJ220" s="67"/>
      <c r="IK220" s="31"/>
      <c r="IL220" s="19"/>
      <c r="IM220" s="67"/>
      <c r="IN220" s="67"/>
      <c r="IO220" s="31"/>
      <c r="IP220" s="19"/>
      <c r="IQ220" s="67"/>
      <c r="IR220" s="67"/>
      <c r="IS220" s="31"/>
      <c r="IT220" s="19"/>
      <c r="IU220" s="67"/>
      <c r="IV220" s="67"/>
      <c r="IW220" s="31"/>
      <c r="IX220" s="19"/>
      <c r="IY220" s="67"/>
      <c r="IZ220" s="67"/>
      <c r="JA220" s="31"/>
      <c r="JB220" s="19"/>
      <c r="JC220" s="67"/>
      <c r="JD220" s="67"/>
      <c r="JE220" s="31"/>
      <c r="JF220" s="19"/>
      <c r="JG220" s="67"/>
      <c r="JH220" s="67"/>
      <c r="JI220" s="31"/>
      <c r="JJ220" s="19"/>
      <c r="JK220" s="67"/>
      <c r="JL220" s="67"/>
      <c r="JM220" s="31"/>
      <c r="JN220" s="19"/>
      <c r="JO220" s="67"/>
      <c r="JP220" s="67"/>
      <c r="JQ220" s="31"/>
      <c r="JR220" s="19"/>
      <c r="JS220" s="67"/>
      <c r="JT220" s="67"/>
      <c r="JU220" s="31"/>
      <c r="JV220" s="19"/>
      <c r="JW220" s="67"/>
      <c r="JX220" s="67"/>
      <c r="JY220" s="31"/>
      <c r="JZ220" s="19"/>
      <c r="KA220" s="67"/>
      <c r="KB220" s="67"/>
      <c r="KC220" s="31"/>
      <c r="KD220" s="19"/>
      <c r="KE220" s="67"/>
      <c r="KF220" s="67"/>
      <c r="KG220" s="31"/>
      <c r="KH220" s="19"/>
      <c r="KI220" s="67"/>
      <c r="KJ220" s="67"/>
      <c r="KK220" s="31"/>
      <c r="KL220" s="19"/>
      <c r="KM220" s="67"/>
      <c r="KN220" s="67"/>
      <c r="KO220" s="31"/>
      <c r="KP220" s="19"/>
      <c r="KQ220" s="67"/>
      <c r="KR220" s="67"/>
      <c r="KS220" s="31"/>
      <c r="KT220" s="19"/>
      <c r="KU220" s="67"/>
      <c r="KV220" s="67"/>
      <c r="KW220" s="31"/>
      <c r="KX220" s="19"/>
      <c r="KY220" s="67"/>
      <c r="KZ220" s="67"/>
      <c r="LA220" s="31"/>
      <c r="LB220" s="19"/>
      <c r="LC220" s="67"/>
      <c r="LD220" s="67"/>
      <c r="LE220" s="31"/>
      <c r="LF220" s="19"/>
      <c r="LG220" s="67"/>
      <c r="LH220" s="67"/>
      <c r="LI220" s="31"/>
      <c r="LJ220" s="19"/>
      <c r="LK220" s="67"/>
      <c r="LL220" s="67"/>
      <c r="LM220" s="31"/>
      <c r="LN220" s="19"/>
      <c r="LO220" s="67"/>
      <c r="LP220" s="67"/>
      <c r="LQ220" s="31"/>
      <c r="LR220" s="19"/>
      <c r="LS220" s="67"/>
      <c r="LT220" s="67"/>
      <c r="LU220" s="31"/>
      <c r="LV220" s="19"/>
      <c r="LW220" s="67"/>
      <c r="LX220" s="67"/>
      <c r="LY220" s="31"/>
      <c r="LZ220" s="19"/>
      <c r="MA220" s="67"/>
      <c r="MB220" s="67"/>
      <c r="MC220" s="31"/>
      <c r="MD220" s="19"/>
      <c r="ME220" s="67"/>
      <c r="MF220" s="67"/>
      <c r="MG220" s="31"/>
      <c r="MH220" s="19"/>
      <c r="MI220" s="67"/>
      <c r="MJ220" s="67"/>
      <c r="MK220" s="31"/>
      <c r="ML220" s="19"/>
      <c r="MM220" s="67"/>
      <c r="MN220" s="67"/>
      <c r="MO220" s="31"/>
      <c r="MP220" s="19"/>
      <c r="MQ220" s="67"/>
      <c r="MR220" s="67"/>
      <c r="MS220" s="31"/>
      <c r="MT220" s="19"/>
      <c r="MU220" s="67"/>
      <c r="MV220" s="67"/>
      <c r="MW220" s="31"/>
      <c r="MX220" s="19"/>
      <c r="MY220" s="67"/>
      <c r="MZ220" s="67"/>
      <c r="NA220" s="31"/>
      <c r="NB220" s="19"/>
      <c r="NC220" s="67"/>
      <c r="ND220" s="67"/>
      <c r="NE220" s="31"/>
      <c r="NF220" s="19"/>
      <c r="NG220" s="67"/>
      <c r="NH220" s="67"/>
      <c r="NI220" s="31"/>
      <c r="NJ220" s="19"/>
      <c r="NK220" s="67"/>
      <c r="NL220" s="67"/>
      <c r="NM220" s="31"/>
      <c r="NN220" s="19"/>
      <c r="NO220" s="67"/>
      <c r="NP220" s="67"/>
      <c r="NQ220" s="31"/>
      <c r="NR220" s="19"/>
      <c r="NS220" s="67"/>
      <c r="NT220" s="67"/>
      <c r="NU220" s="31"/>
      <c r="NV220" s="19"/>
      <c r="NW220" s="67"/>
      <c r="NX220" s="67"/>
      <c r="NY220" s="31"/>
      <c r="NZ220" s="19"/>
      <c r="OA220" s="67"/>
      <c r="OB220" s="67"/>
      <c r="OC220" s="31"/>
      <c r="OD220" s="19"/>
      <c r="OE220" s="67"/>
      <c r="OF220" s="67"/>
      <c r="OG220" s="31"/>
      <c r="OH220" s="19"/>
      <c r="OI220" s="67"/>
      <c r="OJ220" s="67"/>
      <c r="OK220" s="31"/>
      <c r="OL220" s="19"/>
      <c r="OM220" s="67"/>
      <c r="ON220" s="67"/>
      <c r="OO220" s="31"/>
      <c r="OP220" s="19"/>
      <c r="OQ220" s="67"/>
      <c r="OR220" s="67"/>
      <c r="OS220" s="31"/>
      <c r="OT220" s="19"/>
      <c r="OU220" s="67"/>
      <c r="OV220" s="67"/>
      <c r="OW220" s="31"/>
      <c r="OX220" s="19"/>
      <c r="OY220" s="67"/>
      <c r="OZ220" s="67"/>
      <c r="PA220" s="31"/>
      <c r="PB220" s="19"/>
      <c r="PC220" s="67"/>
      <c r="PD220" s="67"/>
      <c r="PE220" s="31"/>
      <c r="PF220" s="19"/>
      <c r="PG220" s="67"/>
      <c r="PH220" s="67"/>
      <c r="PI220" s="31"/>
      <c r="PJ220" s="19"/>
      <c r="PK220" s="67"/>
      <c r="PL220" s="67"/>
      <c r="PM220" s="31"/>
      <c r="PN220" s="19"/>
      <c r="PO220" s="67"/>
      <c r="PP220" s="67"/>
      <c r="PQ220" s="31"/>
      <c r="PR220" s="19"/>
      <c r="PS220" s="67"/>
      <c r="PT220" s="67"/>
      <c r="PU220" s="31"/>
      <c r="PV220" s="19"/>
      <c r="PW220" s="67"/>
      <c r="PX220" s="67"/>
      <c r="PY220" s="31"/>
      <c r="PZ220" s="19"/>
      <c r="QA220" s="67"/>
      <c r="QB220" s="67"/>
      <c r="QC220" s="31"/>
      <c r="QD220" s="19"/>
      <c r="QE220" s="67"/>
      <c r="QF220" s="67"/>
      <c r="QG220" s="31"/>
      <c r="QH220" s="19"/>
      <c r="QI220" s="67"/>
      <c r="QJ220" s="67"/>
      <c r="QK220" s="31"/>
      <c r="QL220" s="19"/>
      <c r="QM220" s="67"/>
      <c r="QN220" s="67"/>
      <c r="QO220" s="31"/>
      <c r="QP220" s="19"/>
      <c r="QQ220" s="67"/>
      <c r="QR220" s="67"/>
      <c r="QS220" s="31"/>
      <c r="QT220" s="19"/>
      <c r="QU220" s="67"/>
      <c r="QV220" s="67"/>
      <c r="QW220" s="31"/>
      <c r="QX220" s="19"/>
      <c r="QY220" s="67"/>
      <c r="QZ220" s="67"/>
      <c r="RA220" s="31"/>
      <c r="RB220" s="19"/>
      <c r="RC220" s="67"/>
      <c r="RD220" s="67"/>
      <c r="RE220" s="31"/>
      <c r="RF220" s="19"/>
      <c r="RG220" s="67"/>
      <c r="RH220" s="67"/>
      <c r="RI220" s="31"/>
      <c r="RJ220" s="19"/>
      <c r="RK220" s="67"/>
      <c r="RL220" s="67"/>
      <c r="RM220" s="31"/>
      <c r="RN220" s="19"/>
      <c r="RO220" s="67"/>
      <c r="RP220" s="67"/>
      <c r="RQ220" s="31"/>
      <c r="RR220" s="19"/>
      <c r="RS220" s="67"/>
      <c r="RT220" s="67"/>
      <c r="RU220" s="31"/>
      <c r="RV220" s="19"/>
      <c r="RW220" s="67"/>
      <c r="RX220" s="67"/>
      <c r="RY220" s="31"/>
      <c r="RZ220" s="19"/>
      <c r="SA220" s="67"/>
      <c r="SB220" s="67"/>
      <c r="SC220" s="31"/>
      <c r="SD220" s="19"/>
      <c r="SE220" s="67"/>
      <c r="SF220" s="67"/>
      <c r="SG220" s="31"/>
      <c r="SH220" s="19"/>
      <c r="SI220" s="67"/>
      <c r="SJ220" s="67"/>
      <c r="SK220" s="31"/>
      <c r="SL220" s="19"/>
      <c r="SM220" s="67"/>
      <c r="SN220" s="67"/>
      <c r="SO220" s="31"/>
      <c r="SP220" s="19"/>
      <c r="SQ220" s="67"/>
      <c r="SR220" s="67"/>
      <c r="SS220" s="31"/>
      <c r="ST220" s="19"/>
      <c r="SU220" s="67"/>
      <c r="SV220" s="67"/>
      <c r="SW220" s="31"/>
      <c r="SX220" s="19"/>
      <c r="SY220" s="67"/>
      <c r="SZ220" s="67"/>
      <c r="TA220" s="31"/>
      <c r="TB220" s="19"/>
      <c r="TC220" s="67"/>
      <c r="TD220" s="67"/>
      <c r="TE220" s="31"/>
      <c r="TF220" s="19"/>
      <c r="TG220" s="67"/>
      <c r="TH220" s="67"/>
      <c r="TI220" s="31"/>
      <c r="TJ220" s="19"/>
      <c r="TK220" s="67"/>
      <c r="TL220" s="67"/>
      <c r="TM220" s="31"/>
      <c r="TN220" s="19"/>
      <c r="TO220" s="67"/>
      <c r="TP220" s="67"/>
      <c r="TQ220" s="31"/>
      <c r="TR220" s="19"/>
      <c r="TS220" s="67"/>
      <c r="TT220" s="67"/>
      <c r="TU220" s="31"/>
      <c r="TV220" s="19"/>
      <c r="TW220" s="67"/>
      <c r="TX220" s="67"/>
      <c r="TY220" s="31"/>
      <c r="TZ220" s="19"/>
      <c r="UA220" s="67"/>
      <c r="UB220" s="67"/>
      <c r="UC220" s="31"/>
      <c r="UD220" s="19"/>
      <c r="UE220" s="67"/>
      <c r="UF220" s="67"/>
      <c r="UG220" s="31"/>
      <c r="UH220" s="19"/>
      <c r="UI220" s="67"/>
      <c r="UJ220" s="67"/>
      <c r="UK220" s="31"/>
      <c r="UL220" s="19"/>
      <c r="UM220" s="67"/>
      <c r="UN220" s="67"/>
      <c r="UO220" s="31"/>
      <c r="UP220" s="19"/>
      <c r="UQ220" s="67"/>
      <c r="UR220" s="67"/>
      <c r="US220" s="31"/>
      <c r="UT220" s="19"/>
      <c r="UU220" s="67"/>
      <c r="UV220" s="67"/>
      <c r="UW220" s="31"/>
      <c r="UX220" s="19"/>
      <c r="UY220" s="67"/>
      <c r="UZ220" s="67"/>
      <c r="VA220" s="31"/>
      <c r="VB220" s="19"/>
      <c r="VC220" s="67"/>
      <c r="VD220" s="67"/>
      <c r="VE220" s="31"/>
      <c r="VF220" s="19"/>
      <c r="VG220" s="67"/>
      <c r="VH220" s="67"/>
      <c r="VI220" s="31"/>
      <c r="VJ220" s="19"/>
      <c r="VK220" s="67"/>
      <c r="VL220" s="67"/>
      <c r="VM220" s="31"/>
      <c r="VN220" s="19"/>
      <c r="VO220" s="67"/>
      <c r="VP220" s="67"/>
      <c r="VQ220" s="31"/>
      <c r="VR220" s="19"/>
      <c r="VS220" s="67"/>
      <c r="VT220" s="67"/>
      <c r="VU220" s="31"/>
      <c r="VV220" s="19"/>
      <c r="VW220" s="67"/>
      <c r="VX220" s="67"/>
      <c r="VY220" s="31"/>
      <c r="VZ220" s="19"/>
      <c r="WA220" s="67"/>
      <c r="WB220" s="67"/>
      <c r="WC220" s="31"/>
      <c r="WD220" s="19"/>
      <c r="WE220" s="67"/>
      <c r="WF220" s="67"/>
      <c r="WG220" s="31"/>
      <c r="WH220" s="19"/>
      <c r="WI220" s="67"/>
      <c r="WJ220" s="67"/>
      <c r="WK220" s="31"/>
      <c r="WL220" s="19"/>
      <c r="WM220" s="67"/>
      <c r="WN220" s="67"/>
      <c r="WO220" s="31"/>
      <c r="WP220" s="19"/>
      <c r="WQ220" s="67"/>
      <c r="WR220" s="67"/>
      <c r="WS220" s="31"/>
      <c r="WT220" s="19"/>
      <c r="WU220" s="67"/>
      <c r="WV220" s="67"/>
      <c r="WW220" s="31"/>
      <c r="WX220" s="19"/>
      <c r="WY220" s="67"/>
      <c r="WZ220" s="67"/>
      <c r="XA220" s="31"/>
      <c r="XB220" s="19"/>
      <c r="XC220" s="67"/>
      <c r="XD220" s="67"/>
      <c r="XE220" s="31"/>
      <c r="XF220" s="19"/>
      <c r="XG220" s="67"/>
      <c r="XH220" s="67"/>
      <c r="XI220" s="31"/>
      <c r="XJ220" s="19"/>
      <c r="XK220" s="67"/>
      <c r="XL220" s="67"/>
      <c r="XM220" s="31"/>
      <c r="XN220" s="19"/>
      <c r="XO220" s="67"/>
      <c r="XP220" s="67"/>
      <c r="XQ220" s="31"/>
      <c r="XR220" s="19"/>
      <c r="XS220" s="67"/>
      <c r="XT220" s="67"/>
      <c r="XU220" s="31"/>
      <c r="XV220" s="19"/>
      <c r="XW220" s="67"/>
      <c r="XX220" s="67"/>
      <c r="XY220" s="31"/>
      <c r="XZ220" s="19"/>
      <c r="YA220" s="67"/>
      <c r="YB220" s="67"/>
      <c r="YC220" s="31"/>
      <c r="YD220" s="19"/>
      <c r="YE220" s="67"/>
      <c r="YF220" s="67"/>
      <c r="YG220" s="31"/>
      <c r="YH220" s="19"/>
      <c r="YI220" s="67"/>
      <c r="YJ220" s="67"/>
      <c r="YK220" s="31"/>
      <c r="YL220" s="19"/>
      <c r="YM220" s="67"/>
      <c r="YN220" s="67"/>
      <c r="YO220" s="31"/>
      <c r="YP220" s="19"/>
      <c r="YQ220" s="67"/>
      <c r="YR220" s="67"/>
      <c r="YS220" s="31"/>
      <c r="YT220" s="19"/>
      <c r="YU220" s="67"/>
      <c r="YV220" s="67"/>
      <c r="YW220" s="31"/>
      <c r="YX220" s="19"/>
      <c r="YY220" s="67"/>
      <c r="YZ220" s="67"/>
      <c r="ZA220" s="31"/>
      <c r="ZB220" s="19"/>
      <c r="ZC220" s="67"/>
      <c r="ZD220" s="67"/>
      <c r="ZE220" s="31"/>
      <c r="ZF220" s="19"/>
      <c r="ZG220" s="67"/>
      <c r="ZH220" s="67"/>
      <c r="ZI220" s="31"/>
      <c r="ZJ220" s="19"/>
      <c r="ZK220" s="67"/>
      <c r="ZL220" s="67"/>
      <c r="ZM220" s="31"/>
      <c r="ZN220" s="19"/>
      <c r="ZO220" s="67"/>
      <c r="ZP220" s="67"/>
      <c r="ZQ220" s="31"/>
      <c r="ZR220" s="19"/>
      <c r="ZS220" s="67"/>
      <c r="ZT220" s="67"/>
      <c r="ZU220" s="31"/>
      <c r="ZV220" s="19"/>
      <c r="ZW220" s="67"/>
      <c r="ZX220" s="67"/>
      <c r="ZY220" s="31"/>
      <c r="ZZ220" s="19"/>
      <c r="AAA220" s="67"/>
      <c r="AAB220" s="67"/>
      <c r="AAC220" s="31"/>
      <c r="AAD220" s="19"/>
      <c r="AAE220" s="67"/>
      <c r="AAF220" s="67"/>
      <c r="AAG220" s="31"/>
      <c r="AAH220" s="19"/>
      <c r="AAI220" s="67"/>
      <c r="AAJ220" s="67"/>
      <c r="AAK220" s="31"/>
      <c r="AAL220" s="19"/>
      <c r="AAM220" s="67"/>
      <c r="AAN220" s="67"/>
      <c r="AAO220" s="31"/>
      <c r="AAP220" s="19"/>
      <c r="AAQ220" s="67"/>
      <c r="AAR220" s="67"/>
      <c r="AAS220" s="31"/>
      <c r="AAT220" s="19"/>
      <c r="AAU220" s="67"/>
      <c r="AAV220" s="67"/>
      <c r="AAW220" s="31"/>
      <c r="AAX220" s="19"/>
      <c r="AAY220" s="67"/>
      <c r="AAZ220" s="67"/>
      <c r="ABA220" s="31"/>
      <c r="ABB220" s="19"/>
      <c r="ABC220" s="67"/>
      <c r="ABD220" s="67"/>
      <c r="ABE220" s="31"/>
      <c r="ABF220" s="19"/>
      <c r="ABG220" s="67"/>
      <c r="ABH220" s="67"/>
      <c r="ABI220" s="31"/>
      <c r="ABJ220" s="19"/>
      <c r="ABK220" s="67"/>
      <c r="ABL220" s="67"/>
      <c r="ABM220" s="31"/>
      <c r="ABN220" s="19"/>
      <c r="ABO220" s="67"/>
      <c r="ABP220" s="67"/>
      <c r="ABQ220" s="31"/>
      <c r="ABR220" s="19"/>
      <c r="ABS220" s="67"/>
      <c r="ABT220" s="67"/>
      <c r="ABU220" s="31"/>
      <c r="ABV220" s="19"/>
      <c r="ABW220" s="67"/>
      <c r="ABX220" s="67"/>
      <c r="ABY220" s="31"/>
      <c r="ABZ220" s="19"/>
      <c r="ACA220" s="67"/>
      <c r="ACB220" s="67"/>
      <c r="ACC220" s="31"/>
      <c r="ACD220" s="19"/>
      <c r="ACE220" s="67"/>
      <c r="ACF220" s="67"/>
      <c r="ACG220" s="31"/>
      <c r="ACH220" s="19"/>
      <c r="ACI220" s="67"/>
      <c r="ACJ220" s="67"/>
      <c r="ACK220" s="31"/>
      <c r="ACL220" s="19"/>
      <c r="ACM220" s="67"/>
      <c r="ACN220" s="67"/>
      <c r="ACO220" s="31"/>
      <c r="ACP220" s="19"/>
      <c r="ACQ220" s="67"/>
      <c r="ACR220" s="67"/>
      <c r="ACS220" s="31"/>
      <c r="ACT220" s="19"/>
      <c r="ACU220" s="67"/>
      <c r="ACV220" s="67"/>
      <c r="ACW220" s="31"/>
      <c r="ACX220" s="19"/>
      <c r="ACY220" s="67"/>
      <c r="ACZ220" s="67"/>
      <c r="ADA220" s="31"/>
      <c r="ADB220" s="19"/>
      <c r="ADC220" s="67"/>
      <c r="ADD220" s="67"/>
      <c r="ADE220" s="31"/>
      <c r="ADF220" s="19"/>
      <c r="ADG220" s="67"/>
      <c r="ADH220" s="67"/>
      <c r="ADI220" s="31"/>
      <c r="ADJ220" s="19"/>
      <c r="ADK220" s="67"/>
      <c r="ADL220" s="67"/>
      <c r="ADM220" s="31"/>
      <c r="ADN220" s="19"/>
      <c r="ADO220" s="67"/>
      <c r="ADP220" s="67"/>
      <c r="ADQ220" s="31"/>
      <c r="ADR220" s="19"/>
      <c r="ADS220" s="67"/>
      <c r="ADT220" s="67"/>
      <c r="ADU220" s="31"/>
      <c r="ADV220" s="19"/>
      <c r="ADW220" s="67"/>
      <c r="ADX220" s="67"/>
      <c r="ADY220" s="31"/>
      <c r="ADZ220" s="19"/>
      <c r="AEA220" s="67"/>
      <c r="AEB220" s="67"/>
      <c r="AEC220" s="31"/>
      <c r="AED220" s="19"/>
      <c r="AEE220" s="67"/>
      <c r="AEF220" s="67"/>
      <c r="AEG220" s="31"/>
      <c r="AEH220" s="19"/>
      <c r="AEI220" s="67"/>
      <c r="AEJ220" s="67"/>
      <c r="AEK220" s="31"/>
      <c r="AEL220" s="19"/>
      <c r="AEM220" s="67"/>
      <c r="AEN220" s="67"/>
      <c r="AEO220" s="31"/>
      <c r="AEP220" s="19"/>
      <c r="AEQ220" s="67"/>
      <c r="AER220" s="67"/>
      <c r="AES220" s="31"/>
      <c r="AET220" s="19"/>
      <c r="AEU220" s="67"/>
      <c r="AEV220" s="67"/>
      <c r="AEW220" s="31"/>
      <c r="AEX220" s="19"/>
      <c r="AEY220" s="67"/>
      <c r="AEZ220" s="67"/>
      <c r="AFA220" s="31"/>
      <c r="AFB220" s="19"/>
      <c r="AFC220" s="67"/>
      <c r="AFD220" s="67"/>
      <c r="AFE220" s="31"/>
      <c r="AFF220" s="19"/>
      <c r="AFG220" s="67"/>
      <c r="AFH220" s="67"/>
      <c r="AFI220" s="31"/>
      <c r="AFJ220" s="19"/>
      <c r="AFK220" s="67"/>
      <c r="AFL220" s="67"/>
      <c r="AFM220" s="31"/>
      <c r="AFN220" s="19"/>
      <c r="AFO220" s="67"/>
      <c r="AFP220" s="67"/>
      <c r="AFQ220" s="31"/>
      <c r="AFR220" s="19"/>
      <c r="AFS220" s="67"/>
      <c r="AFT220" s="67"/>
      <c r="AFU220" s="31"/>
      <c r="AFV220" s="19"/>
      <c r="AFW220" s="67"/>
      <c r="AFX220" s="67"/>
      <c r="AFY220" s="31"/>
      <c r="AFZ220" s="19"/>
      <c r="AGA220" s="67"/>
      <c r="AGB220" s="67"/>
      <c r="AGC220" s="31"/>
      <c r="AGD220" s="19"/>
      <c r="AGE220" s="67"/>
      <c r="AGF220" s="67"/>
      <c r="AGG220" s="31"/>
      <c r="AGH220" s="19"/>
      <c r="AGI220" s="67"/>
      <c r="AGJ220" s="67"/>
      <c r="AGK220" s="31"/>
      <c r="AGL220" s="19"/>
      <c r="AGM220" s="67"/>
      <c r="AGN220" s="67"/>
      <c r="AGO220" s="31"/>
      <c r="AGP220" s="19"/>
      <c r="AGQ220" s="67"/>
      <c r="AGR220" s="67"/>
      <c r="AGS220" s="31"/>
      <c r="AGT220" s="19"/>
      <c r="AGU220" s="67"/>
      <c r="AGV220" s="67"/>
      <c r="AGW220" s="31"/>
      <c r="AGX220" s="19"/>
      <c r="AGY220" s="67"/>
      <c r="AGZ220" s="67"/>
      <c r="AHA220" s="31"/>
      <c r="AHB220" s="19"/>
      <c r="AHC220" s="67"/>
      <c r="AHD220" s="67"/>
      <c r="AHE220" s="31"/>
      <c r="AHF220" s="19"/>
      <c r="AHG220" s="67"/>
      <c r="AHH220" s="67"/>
      <c r="AHI220" s="31"/>
      <c r="AHJ220" s="19"/>
      <c r="AHK220" s="67"/>
      <c r="AHL220" s="67"/>
      <c r="AHM220" s="31"/>
      <c r="AHN220" s="19"/>
      <c r="AHO220" s="67"/>
      <c r="AHP220" s="67"/>
      <c r="AHQ220" s="31"/>
      <c r="AHR220" s="19"/>
      <c r="AHS220" s="67"/>
      <c r="AHT220" s="67"/>
      <c r="AHU220" s="31"/>
      <c r="AHV220" s="19"/>
      <c r="AHW220" s="67"/>
      <c r="AHX220" s="67"/>
      <c r="AHY220" s="31"/>
      <c r="AHZ220" s="19"/>
      <c r="AIA220" s="67"/>
      <c r="AIB220" s="67"/>
      <c r="AIC220" s="31"/>
      <c r="AID220" s="19"/>
      <c r="AIE220" s="67"/>
      <c r="AIF220" s="67"/>
      <c r="AIG220" s="31"/>
      <c r="AIH220" s="19"/>
      <c r="AII220" s="67"/>
      <c r="AIJ220" s="67"/>
      <c r="AIK220" s="31"/>
      <c r="AIL220" s="19"/>
      <c r="AIM220" s="67"/>
      <c r="AIN220" s="67"/>
      <c r="AIO220" s="31"/>
      <c r="AIP220" s="19"/>
      <c r="AIQ220" s="67"/>
      <c r="AIR220" s="67"/>
      <c r="AIS220" s="31"/>
      <c r="AIT220" s="19"/>
      <c r="AIU220" s="67"/>
      <c r="AIV220" s="67"/>
      <c r="AIW220" s="31"/>
      <c r="AIX220" s="19"/>
      <c r="AIY220" s="67"/>
      <c r="AIZ220" s="67"/>
      <c r="AJA220" s="31"/>
      <c r="AJB220" s="19"/>
      <c r="AJC220" s="67"/>
      <c r="AJD220" s="67"/>
      <c r="AJE220" s="31"/>
      <c r="AJF220" s="19"/>
      <c r="AJG220" s="67"/>
      <c r="AJH220" s="67"/>
      <c r="AJI220" s="31"/>
      <c r="AJJ220" s="19"/>
      <c r="AJK220" s="67"/>
      <c r="AJL220" s="67"/>
      <c r="AJM220" s="31"/>
      <c r="AJN220" s="19"/>
      <c r="AJO220" s="67"/>
      <c r="AJP220" s="67"/>
      <c r="AJQ220" s="31"/>
      <c r="AJR220" s="19"/>
      <c r="AJS220" s="67"/>
      <c r="AJT220" s="67"/>
      <c r="AJU220" s="31"/>
      <c r="AJV220" s="19"/>
      <c r="AJW220" s="67"/>
      <c r="AJX220" s="67"/>
      <c r="AJY220" s="31"/>
      <c r="AJZ220" s="19"/>
      <c r="AKA220" s="67"/>
      <c r="AKB220" s="67"/>
      <c r="AKC220" s="31"/>
      <c r="AKD220" s="19"/>
      <c r="AKE220" s="67"/>
      <c r="AKF220" s="67"/>
      <c r="AKG220" s="31"/>
      <c r="AKH220" s="19"/>
      <c r="AKI220" s="67"/>
      <c r="AKJ220" s="67"/>
      <c r="AKK220" s="31"/>
      <c r="AKL220" s="19"/>
      <c r="AKM220" s="67"/>
      <c r="AKN220" s="67"/>
      <c r="AKO220" s="31"/>
      <c r="AKP220" s="19"/>
      <c r="AKQ220" s="67"/>
      <c r="AKR220" s="67"/>
      <c r="AKS220" s="31"/>
      <c r="AKT220" s="19"/>
      <c r="AKU220" s="67"/>
      <c r="AKV220" s="67"/>
      <c r="AKW220" s="31"/>
      <c r="AKX220" s="19"/>
      <c r="AKY220" s="67"/>
      <c r="AKZ220" s="67"/>
      <c r="ALA220" s="31"/>
      <c r="ALB220" s="19"/>
      <c r="ALC220" s="67"/>
      <c r="ALD220" s="67"/>
      <c r="ALE220" s="31"/>
      <c r="ALF220" s="19"/>
      <c r="ALG220" s="67"/>
      <c r="ALH220" s="67"/>
      <c r="ALI220" s="31"/>
      <c r="ALJ220" s="19"/>
      <c r="ALK220" s="67"/>
      <c r="ALL220" s="67"/>
      <c r="ALM220" s="31"/>
      <c r="ALN220" s="19"/>
      <c r="ALO220" s="67"/>
      <c r="ALP220" s="67"/>
      <c r="ALQ220" s="31"/>
      <c r="ALR220" s="19"/>
      <c r="ALS220" s="67"/>
      <c r="ALT220" s="67"/>
      <c r="ALU220" s="31"/>
      <c r="ALV220" s="19"/>
      <c r="ALW220" s="67"/>
      <c r="ALX220" s="67"/>
      <c r="ALY220" s="31"/>
      <c r="ALZ220" s="19"/>
      <c r="AMA220" s="67"/>
      <c r="AMB220" s="67"/>
      <c r="AMC220" s="31"/>
      <c r="AMD220" s="19"/>
      <c r="AME220" s="67"/>
      <c r="AMF220" s="67"/>
      <c r="AMG220" s="31"/>
      <c r="AMH220" s="19"/>
      <c r="AMI220" s="67"/>
      <c r="AMJ220" s="67"/>
      <c r="AMK220" s="31"/>
      <c r="AML220" s="19"/>
      <c r="AMM220" s="67"/>
      <c r="AMN220" s="67"/>
      <c r="AMO220" s="31"/>
      <c r="AMP220" s="19"/>
      <c r="AMQ220" s="67"/>
      <c r="AMR220" s="67"/>
      <c r="AMS220" s="31"/>
      <c r="AMT220" s="19"/>
      <c r="AMU220" s="67"/>
      <c r="AMV220" s="67"/>
      <c r="AMW220" s="31"/>
      <c r="AMX220" s="19"/>
      <c r="AMY220" s="67"/>
      <c r="AMZ220" s="67"/>
      <c r="ANA220" s="31"/>
      <c r="ANB220" s="19"/>
      <c r="ANC220" s="67"/>
      <c r="AND220" s="67"/>
      <c r="ANE220" s="31"/>
      <c r="ANF220" s="19"/>
      <c r="ANG220" s="67"/>
      <c r="ANH220" s="67"/>
      <c r="ANI220" s="31"/>
      <c r="ANJ220" s="19"/>
      <c r="ANK220" s="67"/>
      <c r="ANL220" s="67"/>
      <c r="ANM220" s="31"/>
      <c r="ANN220" s="19"/>
      <c r="ANO220" s="67"/>
      <c r="ANP220" s="67"/>
      <c r="ANQ220" s="31"/>
      <c r="ANR220" s="19"/>
      <c r="ANS220" s="67"/>
      <c r="ANT220" s="67"/>
      <c r="ANU220" s="31"/>
      <c r="ANV220" s="19"/>
      <c r="ANW220" s="67"/>
      <c r="ANX220" s="67"/>
      <c r="ANY220" s="31"/>
      <c r="ANZ220" s="19"/>
      <c r="AOA220" s="67"/>
      <c r="AOB220" s="67"/>
      <c r="AOC220" s="31"/>
      <c r="AOD220" s="19"/>
      <c r="AOE220" s="67"/>
      <c r="AOF220" s="67"/>
      <c r="AOG220" s="31"/>
      <c r="AOH220" s="19"/>
      <c r="AOI220" s="67"/>
      <c r="AOJ220" s="67"/>
      <c r="AOK220" s="31"/>
      <c r="AOL220" s="19"/>
      <c r="AOM220" s="67"/>
      <c r="AON220" s="67"/>
      <c r="AOO220" s="31"/>
      <c r="AOP220" s="19"/>
      <c r="AOQ220" s="67"/>
      <c r="AOR220" s="67"/>
      <c r="AOS220" s="31"/>
      <c r="AOT220" s="19"/>
      <c r="AOU220" s="67"/>
      <c r="AOV220" s="67"/>
      <c r="AOW220" s="31"/>
      <c r="AOX220" s="19"/>
      <c r="AOY220" s="67"/>
      <c r="AOZ220" s="67"/>
      <c r="APA220" s="31"/>
      <c r="APB220" s="19"/>
      <c r="APC220" s="67"/>
      <c r="APD220" s="67"/>
      <c r="APE220" s="31"/>
      <c r="APF220" s="19"/>
      <c r="APG220" s="67"/>
      <c r="APH220" s="67"/>
      <c r="API220" s="31"/>
      <c r="APJ220" s="19"/>
      <c r="APK220" s="67"/>
      <c r="APL220" s="67"/>
      <c r="APM220" s="31"/>
      <c r="APN220" s="19"/>
      <c r="APO220" s="67"/>
      <c r="APP220" s="67"/>
      <c r="APQ220" s="31"/>
      <c r="APR220" s="19"/>
      <c r="APS220" s="67"/>
      <c r="APT220" s="67"/>
      <c r="APU220" s="31"/>
      <c r="APV220" s="19"/>
      <c r="APW220" s="67"/>
      <c r="APX220" s="67"/>
      <c r="APY220" s="31"/>
      <c r="APZ220" s="19"/>
      <c r="AQA220" s="67"/>
      <c r="AQB220" s="67"/>
      <c r="AQC220" s="31"/>
      <c r="AQD220" s="19"/>
      <c r="AQE220" s="67"/>
      <c r="AQF220" s="67"/>
      <c r="AQG220" s="31"/>
      <c r="AQH220" s="19"/>
      <c r="AQI220" s="67"/>
      <c r="AQJ220" s="67"/>
      <c r="AQK220" s="31"/>
      <c r="AQL220" s="19"/>
      <c r="AQM220" s="67"/>
      <c r="AQN220" s="67"/>
      <c r="AQO220" s="31"/>
      <c r="AQP220" s="19"/>
      <c r="AQQ220" s="67"/>
      <c r="AQR220" s="67"/>
      <c r="AQS220" s="31"/>
      <c r="AQT220" s="19"/>
      <c r="AQU220" s="67"/>
      <c r="AQV220" s="67"/>
      <c r="AQW220" s="31"/>
      <c r="AQX220" s="19"/>
      <c r="AQY220" s="67"/>
      <c r="AQZ220" s="67"/>
      <c r="ARA220" s="31"/>
      <c r="ARB220" s="19"/>
      <c r="ARC220" s="67"/>
      <c r="ARD220" s="67"/>
      <c r="ARE220" s="31"/>
      <c r="ARF220" s="19"/>
      <c r="ARG220" s="67"/>
      <c r="ARH220" s="67"/>
      <c r="ARI220" s="31"/>
      <c r="ARJ220" s="19"/>
      <c r="ARK220" s="67"/>
      <c r="ARL220" s="67"/>
      <c r="ARM220" s="31"/>
      <c r="ARN220" s="19"/>
      <c r="ARO220" s="67"/>
      <c r="ARP220" s="67"/>
      <c r="ARQ220" s="31"/>
      <c r="ARR220" s="19"/>
      <c r="ARS220" s="67"/>
      <c r="ART220" s="67"/>
      <c r="ARU220" s="31"/>
      <c r="ARV220" s="19"/>
      <c r="ARW220" s="67"/>
      <c r="ARX220" s="67"/>
      <c r="ARY220" s="31"/>
      <c r="ARZ220" s="19"/>
      <c r="ASA220" s="67"/>
      <c r="ASB220" s="67"/>
      <c r="ASC220" s="31"/>
      <c r="ASD220" s="19"/>
      <c r="ASE220" s="67"/>
      <c r="ASF220" s="67"/>
      <c r="ASG220" s="31"/>
      <c r="ASH220" s="19"/>
      <c r="ASI220" s="67"/>
      <c r="ASJ220" s="67"/>
      <c r="ASK220" s="31"/>
      <c r="ASL220" s="19"/>
      <c r="ASM220" s="67"/>
      <c r="ASN220" s="67"/>
      <c r="ASO220" s="31"/>
      <c r="ASP220" s="19"/>
      <c r="ASQ220" s="67"/>
      <c r="ASR220" s="67"/>
      <c r="ASS220" s="31"/>
      <c r="AST220" s="19"/>
      <c r="ASU220" s="67"/>
      <c r="ASV220" s="67"/>
      <c r="ASW220" s="31"/>
      <c r="ASX220" s="19"/>
      <c r="ASY220" s="67"/>
      <c r="ASZ220" s="67"/>
      <c r="ATA220" s="31"/>
      <c r="ATB220" s="19"/>
      <c r="ATC220" s="67"/>
      <c r="ATD220" s="67"/>
      <c r="ATE220" s="31"/>
      <c r="ATF220" s="19"/>
      <c r="ATG220" s="67"/>
      <c r="ATH220" s="67"/>
      <c r="ATI220" s="31"/>
      <c r="ATJ220" s="19"/>
      <c r="ATK220" s="67"/>
      <c r="ATL220" s="67"/>
      <c r="ATM220" s="31"/>
      <c r="ATN220" s="19"/>
      <c r="ATO220" s="67"/>
      <c r="ATP220" s="67"/>
      <c r="ATQ220" s="31"/>
      <c r="ATR220" s="19"/>
      <c r="ATS220" s="67"/>
      <c r="ATT220" s="67"/>
      <c r="ATU220" s="31"/>
      <c r="ATV220" s="19"/>
      <c r="ATW220" s="67"/>
      <c r="ATX220" s="67"/>
      <c r="ATY220" s="31"/>
      <c r="ATZ220" s="19"/>
      <c r="AUA220" s="67"/>
      <c r="AUB220" s="67"/>
      <c r="AUC220" s="31"/>
      <c r="AUD220" s="19"/>
      <c r="AUE220" s="67"/>
      <c r="AUF220" s="67"/>
      <c r="AUG220" s="31"/>
      <c r="AUH220" s="19"/>
      <c r="AUI220" s="67"/>
      <c r="AUJ220" s="67"/>
      <c r="AUK220" s="31"/>
      <c r="AUL220" s="19"/>
      <c r="AUM220" s="67"/>
      <c r="AUN220" s="67"/>
      <c r="AUO220" s="31"/>
      <c r="AUP220" s="19"/>
      <c r="AUQ220" s="67"/>
      <c r="AUR220" s="67"/>
      <c r="AUS220" s="31"/>
      <c r="AUT220" s="19"/>
      <c r="AUU220" s="67"/>
      <c r="AUV220" s="67"/>
      <c r="AUW220" s="31"/>
      <c r="AUX220" s="19"/>
      <c r="AUY220" s="67"/>
      <c r="AUZ220" s="67"/>
      <c r="AVA220" s="31"/>
      <c r="AVB220" s="19"/>
      <c r="AVC220" s="67"/>
      <c r="AVD220" s="67"/>
      <c r="AVE220" s="31"/>
      <c r="AVF220" s="19"/>
      <c r="AVG220" s="67"/>
      <c r="AVH220" s="67"/>
      <c r="AVI220" s="31"/>
      <c r="AVJ220" s="19"/>
      <c r="AVK220" s="67"/>
      <c r="AVL220" s="67"/>
      <c r="AVM220" s="31"/>
      <c r="AVN220" s="19"/>
      <c r="AVO220" s="67"/>
      <c r="AVP220" s="67"/>
      <c r="AVQ220" s="31"/>
      <c r="AVR220" s="19"/>
      <c r="AVS220" s="67"/>
      <c r="AVT220" s="67"/>
      <c r="AVU220" s="31"/>
      <c r="AVV220" s="19"/>
      <c r="AVW220" s="67"/>
      <c r="AVX220" s="67"/>
      <c r="AVY220" s="31"/>
      <c r="AVZ220" s="19"/>
      <c r="AWA220" s="67"/>
      <c r="AWB220" s="67"/>
      <c r="AWC220" s="31"/>
      <c r="AWD220" s="19"/>
      <c r="AWE220" s="67"/>
      <c r="AWF220" s="67"/>
      <c r="AWG220" s="31"/>
      <c r="AWH220" s="19"/>
      <c r="AWI220" s="67"/>
      <c r="AWJ220" s="67"/>
      <c r="AWK220" s="31"/>
      <c r="AWL220" s="19"/>
      <c r="AWM220" s="67"/>
      <c r="AWN220" s="67"/>
      <c r="AWO220" s="31"/>
      <c r="AWP220" s="19"/>
      <c r="AWQ220" s="67"/>
      <c r="AWR220" s="67"/>
      <c r="AWS220" s="31"/>
      <c r="AWT220" s="19"/>
      <c r="AWU220" s="67"/>
      <c r="AWV220" s="67"/>
      <c r="AWW220" s="31"/>
      <c r="AWX220" s="19"/>
      <c r="AWY220" s="67"/>
      <c r="AWZ220" s="67"/>
      <c r="AXA220" s="31"/>
      <c r="AXB220" s="19"/>
      <c r="AXC220" s="67"/>
      <c r="AXD220" s="67"/>
      <c r="AXE220" s="31"/>
      <c r="AXF220" s="19"/>
      <c r="AXG220" s="67"/>
      <c r="AXH220" s="67"/>
      <c r="AXI220" s="31"/>
      <c r="AXJ220" s="19"/>
      <c r="AXK220" s="67"/>
      <c r="AXL220" s="67"/>
      <c r="AXM220" s="31"/>
      <c r="AXN220" s="19"/>
      <c r="AXO220" s="67"/>
      <c r="AXP220" s="67"/>
      <c r="AXQ220" s="31"/>
      <c r="AXR220" s="19"/>
      <c r="AXS220" s="67"/>
      <c r="AXT220" s="67"/>
      <c r="AXU220" s="31"/>
      <c r="AXV220" s="19"/>
      <c r="AXW220" s="67"/>
      <c r="AXX220" s="67"/>
      <c r="AXY220" s="31"/>
      <c r="AXZ220" s="19"/>
      <c r="AYA220" s="67"/>
      <c r="AYB220" s="67"/>
      <c r="AYC220" s="31"/>
      <c r="AYD220" s="19"/>
      <c r="AYE220" s="67"/>
      <c r="AYF220" s="67"/>
      <c r="AYG220" s="31"/>
      <c r="AYH220" s="19"/>
      <c r="AYI220" s="67"/>
      <c r="AYJ220" s="67"/>
      <c r="AYK220" s="31"/>
      <c r="AYL220" s="19"/>
      <c r="AYM220" s="67"/>
      <c r="AYN220" s="67"/>
      <c r="AYO220" s="31"/>
      <c r="AYP220" s="19"/>
      <c r="AYQ220" s="67"/>
      <c r="AYR220" s="67"/>
      <c r="AYS220" s="31"/>
      <c r="AYT220" s="19"/>
      <c r="AYU220" s="67"/>
      <c r="AYV220" s="67"/>
      <c r="AYW220" s="31"/>
      <c r="AYX220" s="19"/>
      <c r="AYY220" s="67"/>
      <c r="AYZ220" s="67"/>
      <c r="AZA220" s="31"/>
      <c r="AZB220" s="19"/>
      <c r="AZC220" s="67"/>
      <c r="AZD220" s="67"/>
      <c r="AZE220" s="31"/>
      <c r="AZF220" s="19"/>
      <c r="AZG220" s="67"/>
      <c r="AZH220" s="67"/>
      <c r="AZI220" s="31"/>
      <c r="AZJ220" s="19"/>
      <c r="AZK220" s="67"/>
      <c r="AZL220" s="67"/>
      <c r="AZM220" s="31"/>
      <c r="AZN220" s="19"/>
      <c r="AZO220" s="67"/>
      <c r="AZP220" s="67"/>
      <c r="AZQ220" s="31"/>
      <c r="AZR220" s="19"/>
      <c r="AZS220" s="67"/>
      <c r="AZT220" s="67"/>
      <c r="AZU220" s="31"/>
      <c r="AZV220" s="19"/>
      <c r="AZW220" s="67"/>
      <c r="AZX220" s="67"/>
      <c r="AZY220" s="31"/>
      <c r="AZZ220" s="19"/>
      <c r="BAA220" s="67"/>
      <c r="BAB220" s="67"/>
      <c r="BAC220" s="31"/>
      <c r="BAD220" s="19"/>
      <c r="BAE220" s="67"/>
      <c r="BAF220" s="67"/>
      <c r="BAG220" s="31"/>
      <c r="BAH220" s="19"/>
      <c r="BAI220" s="67"/>
      <c r="BAJ220" s="67"/>
      <c r="BAK220" s="31"/>
      <c r="BAL220" s="19"/>
      <c r="BAM220" s="67"/>
      <c r="BAN220" s="67"/>
      <c r="BAO220" s="31"/>
      <c r="BAP220" s="19"/>
      <c r="BAQ220" s="67"/>
      <c r="BAR220" s="67"/>
      <c r="BAS220" s="31"/>
      <c r="BAT220" s="19"/>
      <c r="BAU220" s="67"/>
      <c r="BAV220" s="67"/>
      <c r="BAW220" s="31"/>
      <c r="BAX220" s="19"/>
      <c r="BAY220" s="67"/>
      <c r="BAZ220" s="67"/>
      <c r="BBA220" s="31"/>
      <c r="BBB220" s="19"/>
      <c r="BBC220" s="67"/>
      <c r="BBD220" s="67"/>
      <c r="BBE220" s="31"/>
      <c r="BBF220" s="19"/>
      <c r="BBG220" s="67"/>
      <c r="BBH220" s="67"/>
      <c r="BBI220" s="31"/>
      <c r="BBJ220" s="19"/>
      <c r="BBK220" s="67"/>
      <c r="BBL220" s="67"/>
      <c r="BBM220" s="31"/>
      <c r="BBN220" s="19"/>
      <c r="BBO220" s="67"/>
      <c r="BBP220" s="67"/>
      <c r="BBQ220" s="31"/>
      <c r="BBR220" s="19"/>
      <c r="BBS220" s="67"/>
      <c r="BBT220" s="67"/>
      <c r="BBU220" s="31"/>
      <c r="BBV220" s="19"/>
      <c r="BBW220" s="67"/>
      <c r="BBX220" s="67"/>
      <c r="BBY220" s="31"/>
      <c r="BBZ220" s="19"/>
      <c r="BCA220" s="67"/>
      <c r="BCB220" s="67"/>
      <c r="BCC220" s="31"/>
      <c r="BCD220" s="19"/>
      <c r="BCE220" s="67"/>
      <c r="BCF220" s="67"/>
      <c r="BCG220" s="31"/>
      <c r="BCH220" s="19"/>
      <c r="BCI220" s="67"/>
      <c r="BCJ220" s="67"/>
      <c r="BCK220" s="31"/>
      <c r="BCL220" s="19"/>
      <c r="BCM220" s="67"/>
      <c r="BCN220" s="67"/>
      <c r="BCO220" s="31"/>
      <c r="BCP220" s="19"/>
      <c r="BCQ220" s="67"/>
      <c r="BCR220" s="67"/>
      <c r="BCS220" s="31"/>
      <c r="BCT220" s="19"/>
      <c r="BCU220" s="67"/>
      <c r="BCV220" s="67"/>
      <c r="BCW220" s="31"/>
      <c r="BCX220" s="19"/>
      <c r="BCY220" s="67"/>
      <c r="BCZ220" s="67"/>
      <c r="BDA220" s="31"/>
      <c r="BDB220" s="19"/>
      <c r="BDC220" s="67"/>
      <c r="BDD220" s="67"/>
      <c r="BDE220" s="31"/>
      <c r="BDF220" s="19"/>
      <c r="BDG220" s="67"/>
      <c r="BDH220" s="67"/>
      <c r="BDI220" s="31"/>
      <c r="BDJ220" s="19"/>
      <c r="BDK220" s="67"/>
      <c r="BDL220" s="67"/>
      <c r="BDM220" s="31"/>
      <c r="BDN220" s="19"/>
      <c r="BDO220" s="67"/>
      <c r="BDP220" s="67"/>
      <c r="BDQ220" s="31"/>
      <c r="BDR220" s="19"/>
      <c r="BDS220" s="67"/>
      <c r="BDT220" s="67"/>
      <c r="BDU220" s="31"/>
      <c r="BDV220" s="19"/>
      <c r="BDW220" s="67"/>
      <c r="BDX220" s="67"/>
      <c r="BDY220" s="31"/>
      <c r="BDZ220" s="19"/>
      <c r="BEA220" s="67"/>
      <c r="BEB220" s="67"/>
      <c r="BEC220" s="31"/>
      <c r="BED220" s="19"/>
      <c r="BEE220" s="67"/>
      <c r="BEF220" s="67"/>
      <c r="BEG220" s="31"/>
      <c r="BEH220" s="19"/>
      <c r="BEI220" s="67"/>
      <c r="BEJ220" s="67"/>
      <c r="BEK220" s="31"/>
      <c r="BEL220" s="19"/>
      <c r="BEM220" s="67"/>
      <c r="BEN220" s="67"/>
      <c r="BEO220" s="31"/>
      <c r="BEP220" s="19"/>
      <c r="BEQ220" s="67"/>
      <c r="BER220" s="67"/>
      <c r="BES220" s="31"/>
      <c r="BET220" s="19"/>
      <c r="BEU220" s="67"/>
      <c r="BEV220" s="67"/>
      <c r="BEW220" s="31"/>
      <c r="BEX220" s="19"/>
      <c r="BEY220" s="67"/>
      <c r="BEZ220" s="67"/>
      <c r="BFA220" s="31"/>
      <c r="BFB220" s="19"/>
      <c r="BFC220" s="67"/>
      <c r="BFD220" s="67"/>
      <c r="BFE220" s="31"/>
      <c r="BFF220" s="19"/>
      <c r="BFG220" s="67"/>
      <c r="BFH220" s="67"/>
      <c r="BFI220" s="31"/>
      <c r="BFJ220" s="19"/>
      <c r="BFK220" s="67"/>
      <c r="BFL220" s="67"/>
      <c r="BFM220" s="31"/>
      <c r="BFN220" s="19"/>
      <c r="BFO220" s="67"/>
      <c r="BFP220" s="67"/>
      <c r="BFQ220" s="31"/>
      <c r="BFR220" s="19"/>
      <c r="BFS220" s="67"/>
      <c r="BFT220" s="67"/>
      <c r="BFU220" s="31"/>
      <c r="BFV220" s="19"/>
      <c r="BFW220" s="67"/>
      <c r="BFX220" s="67"/>
      <c r="BFY220" s="31"/>
      <c r="BFZ220" s="19"/>
      <c r="BGA220" s="67"/>
      <c r="BGB220" s="67"/>
      <c r="BGC220" s="31"/>
      <c r="BGD220" s="19"/>
      <c r="BGE220" s="67"/>
      <c r="BGF220" s="67"/>
      <c r="BGG220" s="31"/>
      <c r="BGH220" s="19"/>
      <c r="BGI220" s="67"/>
      <c r="BGJ220" s="67"/>
      <c r="BGK220" s="31"/>
      <c r="BGL220" s="19"/>
      <c r="BGM220" s="67"/>
      <c r="BGN220" s="67"/>
      <c r="BGO220" s="31"/>
      <c r="BGP220" s="19"/>
      <c r="BGQ220" s="67"/>
      <c r="BGR220" s="67"/>
      <c r="BGS220" s="31"/>
      <c r="BGT220" s="19"/>
      <c r="BGU220" s="67"/>
      <c r="BGV220" s="67"/>
      <c r="BGW220" s="31"/>
      <c r="BGX220" s="19"/>
      <c r="BGY220" s="67"/>
      <c r="BGZ220" s="67"/>
      <c r="BHA220" s="31"/>
      <c r="BHB220" s="19"/>
      <c r="BHC220" s="67"/>
      <c r="BHD220" s="67"/>
      <c r="BHE220" s="31"/>
      <c r="BHF220" s="19"/>
      <c r="BHG220" s="67"/>
      <c r="BHH220" s="67"/>
      <c r="BHI220" s="31"/>
      <c r="BHJ220" s="19"/>
      <c r="BHK220" s="67"/>
      <c r="BHL220" s="67"/>
      <c r="BHM220" s="31"/>
      <c r="BHN220" s="19"/>
      <c r="BHO220" s="67"/>
      <c r="BHP220" s="67"/>
      <c r="BHQ220" s="31"/>
      <c r="BHR220" s="19"/>
      <c r="BHS220" s="67"/>
      <c r="BHT220" s="67"/>
      <c r="BHU220" s="31"/>
      <c r="BHV220" s="19"/>
      <c r="BHW220" s="67"/>
      <c r="BHX220" s="67"/>
      <c r="BHY220" s="31"/>
      <c r="BHZ220" s="19"/>
      <c r="BIA220" s="67"/>
      <c r="BIB220" s="67"/>
      <c r="BIC220" s="31"/>
      <c r="BID220" s="19"/>
      <c r="BIE220" s="67"/>
      <c r="BIF220" s="67"/>
      <c r="BIG220" s="31"/>
      <c r="BIH220" s="19"/>
      <c r="BII220" s="67"/>
      <c r="BIJ220" s="67"/>
      <c r="BIK220" s="31"/>
      <c r="BIL220" s="19"/>
      <c r="BIM220" s="67"/>
      <c r="BIN220" s="67"/>
      <c r="BIO220" s="31"/>
      <c r="BIP220" s="19"/>
      <c r="BIQ220" s="67"/>
      <c r="BIR220" s="67"/>
      <c r="BIS220" s="31"/>
      <c r="BIT220" s="19"/>
      <c r="BIU220" s="67"/>
      <c r="BIV220" s="67"/>
      <c r="BIW220" s="31"/>
      <c r="BIX220" s="19"/>
      <c r="BIY220" s="67"/>
      <c r="BIZ220" s="67"/>
      <c r="BJA220" s="31"/>
      <c r="BJB220" s="19"/>
      <c r="BJC220" s="67"/>
      <c r="BJD220" s="67"/>
      <c r="BJE220" s="31"/>
      <c r="BJF220" s="19"/>
      <c r="BJG220" s="67"/>
      <c r="BJH220" s="67"/>
      <c r="BJI220" s="31"/>
      <c r="BJJ220" s="19"/>
      <c r="BJK220" s="67"/>
      <c r="BJL220" s="67"/>
      <c r="BJM220" s="31"/>
      <c r="BJN220" s="19"/>
      <c r="BJO220" s="67"/>
      <c r="BJP220" s="67"/>
      <c r="BJQ220" s="31"/>
      <c r="BJR220" s="19"/>
      <c r="BJS220" s="67"/>
      <c r="BJT220" s="67"/>
      <c r="BJU220" s="31"/>
      <c r="BJV220" s="19"/>
      <c r="BJW220" s="67"/>
      <c r="BJX220" s="67"/>
      <c r="BJY220" s="31"/>
      <c r="BJZ220" s="19"/>
      <c r="BKA220" s="67"/>
      <c r="BKB220" s="67"/>
      <c r="BKC220" s="31"/>
      <c r="BKD220" s="19"/>
      <c r="BKE220" s="67"/>
      <c r="BKF220" s="67"/>
      <c r="BKG220" s="31"/>
      <c r="BKH220" s="19"/>
      <c r="BKI220" s="67"/>
      <c r="BKJ220" s="67"/>
      <c r="BKK220" s="31"/>
      <c r="BKL220" s="19"/>
      <c r="BKM220" s="67"/>
      <c r="BKN220" s="67"/>
      <c r="BKO220" s="31"/>
      <c r="BKP220" s="19"/>
      <c r="BKQ220" s="67"/>
      <c r="BKR220" s="67"/>
      <c r="BKS220" s="31"/>
      <c r="BKT220" s="19"/>
      <c r="BKU220" s="67"/>
      <c r="BKV220" s="67"/>
      <c r="BKW220" s="31"/>
      <c r="BKX220" s="19"/>
      <c r="BKY220" s="67"/>
      <c r="BKZ220" s="67"/>
      <c r="BLA220" s="31"/>
      <c r="BLB220" s="19"/>
      <c r="BLC220" s="67"/>
      <c r="BLD220" s="67"/>
      <c r="BLE220" s="31"/>
      <c r="BLF220" s="19"/>
      <c r="BLG220" s="67"/>
      <c r="BLH220" s="67"/>
      <c r="BLI220" s="31"/>
      <c r="BLJ220" s="19"/>
      <c r="BLK220" s="67"/>
      <c r="BLL220" s="67"/>
      <c r="BLM220" s="31"/>
      <c r="BLN220" s="19"/>
      <c r="BLO220" s="67"/>
      <c r="BLP220" s="67"/>
      <c r="BLQ220" s="31"/>
      <c r="BLR220" s="19"/>
      <c r="BLS220" s="67"/>
      <c r="BLT220" s="67"/>
      <c r="BLU220" s="31"/>
      <c r="BLV220" s="19"/>
      <c r="BLW220" s="67"/>
      <c r="BLX220" s="67"/>
      <c r="BLY220" s="31"/>
      <c r="BLZ220" s="19"/>
      <c r="BMA220" s="67"/>
      <c r="BMB220" s="67"/>
      <c r="BMC220" s="31"/>
      <c r="BMD220" s="19"/>
      <c r="BME220" s="67"/>
      <c r="BMF220" s="67"/>
      <c r="BMG220" s="31"/>
      <c r="BMH220" s="19"/>
      <c r="BMI220" s="67"/>
      <c r="BMJ220" s="67"/>
      <c r="BMK220" s="31"/>
      <c r="BML220" s="19"/>
      <c r="BMM220" s="67"/>
      <c r="BMN220" s="67"/>
      <c r="BMO220" s="31"/>
      <c r="BMP220" s="19"/>
      <c r="BMQ220" s="67"/>
      <c r="BMR220" s="67"/>
      <c r="BMS220" s="31"/>
      <c r="BMT220" s="19"/>
      <c r="BMU220" s="67"/>
      <c r="BMV220" s="67"/>
      <c r="BMW220" s="31"/>
      <c r="BMX220" s="19"/>
      <c r="BMY220" s="67"/>
      <c r="BMZ220" s="67"/>
      <c r="BNA220" s="31"/>
      <c r="BNB220" s="19"/>
      <c r="BNC220" s="67"/>
      <c r="BND220" s="67"/>
      <c r="BNE220" s="31"/>
      <c r="BNF220" s="19"/>
      <c r="BNG220" s="67"/>
      <c r="BNH220" s="67"/>
      <c r="BNI220" s="31"/>
      <c r="BNJ220" s="19"/>
      <c r="BNK220" s="67"/>
      <c r="BNL220" s="67"/>
      <c r="BNM220" s="31"/>
      <c r="BNN220" s="19"/>
      <c r="BNO220" s="67"/>
      <c r="BNP220" s="67"/>
      <c r="BNQ220" s="31"/>
      <c r="BNR220" s="19"/>
      <c r="BNS220" s="67"/>
      <c r="BNT220" s="67"/>
      <c r="BNU220" s="31"/>
      <c r="BNV220" s="19"/>
      <c r="BNW220" s="67"/>
      <c r="BNX220" s="67"/>
      <c r="BNY220" s="31"/>
      <c r="BNZ220" s="19"/>
      <c r="BOA220" s="67"/>
      <c r="BOB220" s="67"/>
      <c r="BOC220" s="31"/>
      <c r="BOD220" s="19"/>
      <c r="BOE220" s="67"/>
      <c r="BOF220" s="67"/>
      <c r="BOG220" s="31"/>
      <c r="BOH220" s="19"/>
      <c r="BOI220" s="67"/>
      <c r="BOJ220" s="67"/>
      <c r="BOK220" s="31"/>
      <c r="BOL220" s="19"/>
      <c r="BOM220" s="67"/>
      <c r="BON220" s="67"/>
      <c r="BOO220" s="31"/>
      <c r="BOP220" s="19"/>
      <c r="BOQ220" s="67"/>
      <c r="BOR220" s="67"/>
      <c r="BOS220" s="31"/>
      <c r="BOT220" s="19"/>
      <c r="BOU220" s="67"/>
      <c r="BOV220" s="67"/>
      <c r="BOW220" s="31"/>
      <c r="BOX220" s="19"/>
      <c r="BOY220" s="67"/>
      <c r="BOZ220" s="67"/>
      <c r="BPA220" s="31"/>
      <c r="BPB220" s="19"/>
      <c r="BPC220" s="67"/>
      <c r="BPD220" s="67"/>
      <c r="BPE220" s="31"/>
      <c r="BPF220" s="19"/>
      <c r="BPG220" s="67"/>
      <c r="BPH220" s="67"/>
      <c r="BPI220" s="31"/>
      <c r="BPJ220" s="19"/>
      <c r="BPK220" s="67"/>
      <c r="BPL220" s="67"/>
      <c r="BPM220" s="31"/>
      <c r="BPN220" s="19"/>
      <c r="BPO220" s="67"/>
      <c r="BPP220" s="67"/>
      <c r="BPQ220" s="31"/>
      <c r="BPR220" s="19"/>
      <c r="BPS220" s="67"/>
      <c r="BPT220" s="67"/>
      <c r="BPU220" s="31"/>
      <c r="BPV220" s="19"/>
      <c r="BPW220" s="67"/>
      <c r="BPX220" s="67"/>
      <c r="BPY220" s="31"/>
      <c r="BPZ220" s="19"/>
      <c r="BQA220" s="67"/>
      <c r="BQB220" s="67"/>
      <c r="BQC220" s="31"/>
      <c r="BQD220" s="19"/>
      <c r="BQE220" s="67"/>
      <c r="BQF220" s="67"/>
      <c r="BQG220" s="31"/>
      <c r="BQH220" s="19"/>
      <c r="BQI220" s="67"/>
      <c r="BQJ220" s="67"/>
      <c r="BQK220" s="31"/>
      <c r="BQL220" s="19"/>
      <c r="BQM220" s="67"/>
      <c r="BQN220" s="67"/>
      <c r="BQO220" s="31"/>
      <c r="BQP220" s="19"/>
      <c r="BQQ220" s="67"/>
      <c r="BQR220" s="67"/>
      <c r="BQS220" s="31"/>
      <c r="BQT220" s="19"/>
      <c r="BQU220" s="67"/>
      <c r="BQV220" s="67"/>
      <c r="BQW220" s="31"/>
      <c r="BQX220" s="19"/>
      <c r="BQY220" s="67"/>
      <c r="BQZ220" s="67"/>
      <c r="BRA220" s="31"/>
      <c r="BRB220" s="19"/>
      <c r="BRC220" s="67"/>
      <c r="BRD220" s="67"/>
      <c r="BRE220" s="31"/>
      <c r="BRF220" s="19"/>
      <c r="BRG220" s="67"/>
      <c r="BRH220" s="67"/>
      <c r="BRI220" s="31"/>
      <c r="BRJ220" s="19"/>
      <c r="BRK220" s="67"/>
      <c r="BRL220" s="67"/>
      <c r="BRM220" s="31"/>
      <c r="BRN220" s="19"/>
      <c r="BRO220" s="67"/>
      <c r="BRP220" s="67"/>
      <c r="BRQ220" s="31"/>
      <c r="BRR220" s="19"/>
      <c r="BRS220" s="67"/>
      <c r="BRT220" s="67"/>
      <c r="BRU220" s="31"/>
      <c r="BRV220" s="19"/>
      <c r="BRW220" s="67"/>
      <c r="BRX220" s="67"/>
      <c r="BRY220" s="31"/>
      <c r="BRZ220" s="19"/>
      <c r="BSA220" s="67"/>
      <c r="BSB220" s="67"/>
      <c r="BSC220" s="31"/>
      <c r="BSD220" s="19"/>
      <c r="BSE220" s="67"/>
      <c r="BSF220" s="67"/>
      <c r="BSG220" s="31"/>
      <c r="BSH220" s="19"/>
      <c r="BSI220" s="67"/>
      <c r="BSJ220" s="67"/>
      <c r="BSK220" s="31"/>
      <c r="BSL220" s="19"/>
      <c r="BSM220" s="67"/>
      <c r="BSN220" s="67"/>
      <c r="BSO220" s="31"/>
      <c r="BSP220" s="19"/>
      <c r="BSQ220" s="67"/>
      <c r="BSR220" s="67"/>
      <c r="BSS220" s="31"/>
      <c r="BST220" s="19"/>
      <c r="BSU220" s="67"/>
      <c r="BSV220" s="67"/>
      <c r="BSW220" s="31"/>
      <c r="BSX220" s="19"/>
      <c r="BSY220" s="67"/>
      <c r="BSZ220" s="67"/>
      <c r="BTA220" s="31"/>
      <c r="BTB220" s="19"/>
      <c r="BTC220" s="67"/>
      <c r="BTD220" s="67"/>
      <c r="BTE220" s="31"/>
      <c r="BTF220" s="19"/>
      <c r="BTG220" s="67"/>
      <c r="BTH220" s="67"/>
      <c r="BTI220" s="31"/>
      <c r="BTJ220" s="19"/>
      <c r="BTK220" s="67"/>
      <c r="BTL220" s="67"/>
      <c r="BTM220" s="31"/>
      <c r="BTN220" s="19"/>
      <c r="BTO220" s="67"/>
      <c r="BTP220" s="67"/>
      <c r="BTQ220" s="31"/>
      <c r="BTR220" s="19"/>
      <c r="BTS220" s="67"/>
      <c r="BTT220" s="67"/>
      <c r="BTU220" s="31"/>
      <c r="BTV220" s="19"/>
      <c r="BTW220" s="67"/>
      <c r="BTX220" s="67"/>
      <c r="BTY220" s="31"/>
      <c r="BTZ220" s="19"/>
      <c r="BUA220" s="67"/>
      <c r="BUB220" s="67"/>
      <c r="BUC220" s="31"/>
      <c r="BUD220" s="19"/>
      <c r="BUE220" s="67"/>
      <c r="BUF220" s="67"/>
      <c r="BUG220" s="31"/>
      <c r="BUH220" s="19"/>
      <c r="BUI220" s="67"/>
      <c r="BUJ220" s="67"/>
      <c r="BUK220" s="31"/>
      <c r="BUL220" s="19"/>
      <c r="BUM220" s="67"/>
      <c r="BUN220" s="67"/>
      <c r="BUO220" s="31"/>
      <c r="BUP220" s="19"/>
      <c r="BUQ220" s="67"/>
      <c r="BUR220" s="67"/>
      <c r="BUS220" s="31"/>
      <c r="BUT220" s="19"/>
      <c r="BUU220" s="67"/>
      <c r="BUV220" s="67"/>
      <c r="BUW220" s="31"/>
      <c r="BUX220" s="19"/>
      <c r="BUY220" s="67"/>
      <c r="BUZ220" s="67"/>
      <c r="BVA220" s="31"/>
      <c r="BVB220" s="19"/>
      <c r="BVC220" s="67"/>
      <c r="BVD220" s="67"/>
      <c r="BVE220" s="31"/>
      <c r="BVF220" s="19"/>
      <c r="BVG220" s="67"/>
      <c r="BVH220" s="67"/>
      <c r="BVI220" s="31"/>
      <c r="BVJ220" s="19"/>
      <c r="BVK220" s="67"/>
      <c r="BVL220" s="67"/>
      <c r="BVM220" s="31"/>
      <c r="BVN220" s="19"/>
      <c r="BVO220" s="67"/>
      <c r="BVP220" s="67"/>
      <c r="BVQ220" s="31"/>
      <c r="BVR220" s="19"/>
      <c r="BVS220" s="67"/>
      <c r="BVT220" s="67"/>
      <c r="BVU220" s="31"/>
      <c r="BVV220" s="19"/>
      <c r="BVW220" s="67"/>
      <c r="BVX220" s="67"/>
      <c r="BVY220" s="31"/>
      <c r="BVZ220" s="19"/>
      <c r="BWA220" s="67"/>
      <c r="BWB220" s="67"/>
      <c r="BWC220" s="31"/>
      <c r="BWD220" s="19"/>
      <c r="BWE220" s="67"/>
      <c r="BWF220" s="67"/>
      <c r="BWG220" s="31"/>
      <c r="BWH220" s="19"/>
      <c r="BWI220" s="67"/>
      <c r="BWJ220" s="67"/>
      <c r="BWK220" s="31"/>
      <c r="BWL220" s="19"/>
      <c r="BWM220" s="67"/>
      <c r="BWN220" s="67"/>
      <c r="BWO220" s="31"/>
      <c r="BWP220" s="19"/>
      <c r="BWQ220" s="67"/>
      <c r="BWR220" s="67"/>
      <c r="BWS220" s="31"/>
      <c r="BWT220" s="19"/>
      <c r="BWU220" s="67"/>
      <c r="BWV220" s="67"/>
      <c r="BWW220" s="31"/>
      <c r="BWX220" s="19"/>
      <c r="BWY220" s="67"/>
      <c r="BWZ220" s="67"/>
      <c r="BXA220" s="31"/>
      <c r="BXB220" s="19"/>
      <c r="BXC220" s="67"/>
      <c r="BXD220" s="67"/>
      <c r="BXE220" s="31"/>
      <c r="BXF220" s="19"/>
      <c r="BXG220" s="67"/>
      <c r="BXH220" s="67"/>
      <c r="BXI220" s="31"/>
      <c r="BXJ220" s="19"/>
      <c r="BXK220" s="67"/>
      <c r="BXL220" s="67"/>
      <c r="BXM220" s="31"/>
      <c r="BXN220" s="19"/>
      <c r="BXO220" s="67"/>
      <c r="BXP220" s="67"/>
      <c r="BXQ220" s="31"/>
      <c r="BXR220" s="19"/>
      <c r="BXS220" s="67"/>
      <c r="BXT220" s="67"/>
      <c r="BXU220" s="31"/>
      <c r="BXV220" s="19"/>
      <c r="BXW220" s="67"/>
      <c r="BXX220" s="67"/>
      <c r="BXY220" s="31"/>
      <c r="BXZ220" s="19"/>
      <c r="BYA220" s="67"/>
      <c r="BYB220" s="67"/>
      <c r="BYC220" s="31"/>
      <c r="BYD220" s="19"/>
      <c r="BYE220" s="67"/>
      <c r="BYF220" s="67"/>
      <c r="BYG220" s="31"/>
      <c r="BYH220" s="19"/>
      <c r="BYI220" s="67"/>
      <c r="BYJ220" s="67"/>
      <c r="BYK220" s="31"/>
      <c r="BYL220" s="19"/>
      <c r="BYM220" s="67"/>
      <c r="BYN220" s="67"/>
      <c r="BYO220" s="31"/>
      <c r="BYP220" s="19"/>
      <c r="BYQ220" s="67"/>
      <c r="BYR220" s="67"/>
      <c r="BYS220" s="31"/>
      <c r="BYT220" s="19"/>
      <c r="BYU220" s="67"/>
      <c r="BYV220" s="67"/>
      <c r="BYW220" s="31"/>
      <c r="BYX220" s="19"/>
      <c r="BYY220" s="67"/>
      <c r="BYZ220" s="67"/>
      <c r="BZA220" s="31"/>
      <c r="BZB220" s="19"/>
      <c r="BZC220" s="67"/>
      <c r="BZD220" s="67"/>
      <c r="BZE220" s="31"/>
      <c r="BZF220" s="19"/>
      <c r="BZG220" s="67"/>
      <c r="BZH220" s="67"/>
      <c r="BZI220" s="31"/>
      <c r="BZJ220" s="19"/>
      <c r="BZK220" s="67"/>
      <c r="BZL220" s="67"/>
      <c r="BZM220" s="31"/>
      <c r="BZN220" s="19"/>
      <c r="BZO220" s="67"/>
      <c r="BZP220" s="67"/>
      <c r="BZQ220" s="31"/>
      <c r="BZR220" s="19"/>
      <c r="BZS220" s="67"/>
      <c r="BZT220" s="67"/>
      <c r="BZU220" s="31"/>
      <c r="BZV220" s="19"/>
      <c r="BZW220" s="67"/>
      <c r="BZX220" s="67"/>
      <c r="BZY220" s="31"/>
      <c r="BZZ220" s="19"/>
      <c r="CAA220" s="67"/>
      <c r="CAB220" s="67"/>
      <c r="CAC220" s="31"/>
      <c r="CAD220" s="19"/>
      <c r="CAE220" s="67"/>
      <c r="CAF220" s="67"/>
      <c r="CAG220" s="31"/>
      <c r="CAH220" s="19"/>
      <c r="CAI220" s="67"/>
      <c r="CAJ220" s="67"/>
      <c r="CAK220" s="31"/>
      <c r="CAL220" s="19"/>
      <c r="CAM220" s="67"/>
      <c r="CAN220" s="67"/>
      <c r="CAO220" s="31"/>
      <c r="CAP220" s="19"/>
      <c r="CAQ220" s="67"/>
      <c r="CAR220" s="67"/>
      <c r="CAS220" s="31"/>
      <c r="CAT220" s="19"/>
      <c r="CAU220" s="67"/>
      <c r="CAV220" s="67"/>
      <c r="CAW220" s="31"/>
      <c r="CAX220" s="19"/>
      <c r="CAY220" s="67"/>
      <c r="CAZ220" s="67"/>
      <c r="CBA220" s="31"/>
      <c r="CBB220" s="19"/>
      <c r="CBC220" s="67"/>
      <c r="CBD220" s="67"/>
      <c r="CBE220" s="31"/>
      <c r="CBF220" s="19"/>
      <c r="CBG220" s="67"/>
      <c r="CBH220" s="67"/>
      <c r="CBI220" s="31"/>
      <c r="CBJ220" s="19"/>
      <c r="CBK220" s="67"/>
      <c r="CBL220" s="67"/>
      <c r="CBM220" s="31"/>
      <c r="CBN220" s="19"/>
      <c r="CBO220" s="67"/>
      <c r="CBP220" s="67"/>
      <c r="CBQ220" s="31"/>
      <c r="CBR220" s="19"/>
      <c r="CBS220" s="67"/>
      <c r="CBT220" s="67"/>
      <c r="CBU220" s="31"/>
      <c r="CBV220" s="19"/>
      <c r="CBW220" s="67"/>
      <c r="CBX220" s="67"/>
      <c r="CBY220" s="31"/>
      <c r="CBZ220" s="19"/>
      <c r="CCA220" s="67"/>
      <c r="CCB220" s="67"/>
      <c r="CCC220" s="31"/>
      <c r="CCD220" s="19"/>
      <c r="CCE220" s="67"/>
      <c r="CCF220" s="67"/>
      <c r="CCG220" s="31"/>
      <c r="CCH220" s="19"/>
      <c r="CCI220" s="67"/>
      <c r="CCJ220" s="67"/>
      <c r="CCK220" s="31"/>
      <c r="CCL220" s="19"/>
      <c r="CCM220" s="67"/>
      <c r="CCN220" s="67"/>
      <c r="CCO220" s="31"/>
      <c r="CCP220" s="19"/>
      <c r="CCQ220" s="67"/>
      <c r="CCR220" s="67"/>
      <c r="CCS220" s="31"/>
      <c r="CCT220" s="19"/>
      <c r="CCU220" s="67"/>
      <c r="CCV220" s="67"/>
      <c r="CCW220" s="31"/>
      <c r="CCX220" s="19"/>
      <c r="CCY220" s="67"/>
      <c r="CCZ220" s="67"/>
      <c r="CDA220" s="31"/>
      <c r="CDB220" s="19"/>
      <c r="CDC220" s="67"/>
      <c r="CDD220" s="67"/>
      <c r="CDE220" s="31"/>
      <c r="CDF220" s="19"/>
      <c r="CDG220" s="67"/>
      <c r="CDH220" s="67"/>
      <c r="CDI220" s="31"/>
      <c r="CDJ220" s="19"/>
      <c r="CDK220" s="67"/>
      <c r="CDL220" s="67"/>
      <c r="CDM220" s="31"/>
      <c r="CDN220" s="19"/>
      <c r="CDO220" s="67"/>
      <c r="CDP220" s="67"/>
      <c r="CDQ220" s="31"/>
      <c r="CDR220" s="19"/>
      <c r="CDS220" s="67"/>
      <c r="CDT220" s="67"/>
      <c r="CDU220" s="31"/>
      <c r="CDV220" s="19"/>
      <c r="CDW220" s="67"/>
      <c r="CDX220" s="67"/>
      <c r="CDY220" s="31"/>
      <c r="CDZ220" s="19"/>
      <c r="CEA220" s="67"/>
      <c r="CEB220" s="67"/>
      <c r="CEC220" s="31"/>
      <c r="CED220" s="19"/>
      <c r="CEE220" s="67"/>
      <c r="CEF220" s="67"/>
      <c r="CEG220" s="31"/>
      <c r="CEH220" s="19"/>
      <c r="CEI220" s="67"/>
      <c r="CEJ220" s="67"/>
      <c r="CEK220" s="31"/>
      <c r="CEL220" s="19"/>
      <c r="CEM220" s="67"/>
      <c r="CEN220" s="67"/>
      <c r="CEO220" s="31"/>
      <c r="CEP220" s="19"/>
      <c r="CEQ220" s="67"/>
      <c r="CER220" s="67"/>
      <c r="CES220" s="31"/>
      <c r="CET220" s="19"/>
      <c r="CEU220" s="67"/>
      <c r="CEV220" s="67"/>
      <c r="CEW220" s="31"/>
      <c r="CEX220" s="19"/>
      <c r="CEY220" s="67"/>
      <c r="CEZ220" s="67"/>
      <c r="CFA220" s="31"/>
      <c r="CFB220" s="19"/>
      <c r="CFC220" s="67"/>
      <c r="CFD220" s="67"/>
      <c r="CFE220" s="31"/>
      <c r="CFF220" s="19"/>
      <c r="CFG220" s="67"/>
      <c r="CFH220" s="67"/>
      <c r="CFI220" s="31"/>
      <c r="CFJ220" s="19"/>
      <c r="CFK220" s="67"/>
      <c r="CFL220" s="67"/>
      <c r="CFM220" s="31"/>
      <c r="CFN220" s="19"/>
      <c r="CFO220" s="67"/>
      <c r="CFP220" s="67"/>
      <c r="CFQ220" s="31"/>
      <c r="CFR220" s="19"/>
      <c r="CFS220" s="67"/>
      <c r="CFT220" s="67"/>
      <c r="CFU220" s="31"/>
      <c r="CFV220" s="19"/>
      <c r="CFW220" s="67"/>
      <c r="CFX220" s="67"/>
      <c r="CFY220" s="31"/>
      <c r="CFZ220" s="19"/>
      <c r="CGA220" s="67"/>
      <c r="CGB220" s="67"/>
      <c r="CGC220" s="31"/>
      <c r="CGD220" s="19"/>
      <c r="CGE220" s="67"/>
      <c r="CGF220" s="67"/>
      <c r="CGG220" s="31"/>
      <c r="CGH220" s="19"/>
      <c r="CGI220" s="67"/>
      <c r="CGJ220" s="67"/>
      <c r="CGK220" s="31"/>
      <c r="CGL220" s="19"/>
      <c r="CGM220" s="67"/>
      <c r="CGN220" s="67"/>
      <c r="CGO220" s="31"/>
      <c r="CGP220" s="19"/>
      <c r="CGQ220" s="67"/>
      <c r="CGR220" s="67"/>
      <c r="CGS220" s="31"/>
      <c r="CGT220" s="19"/>
      <c r="CGU220" s="67"/>
      <c r="CGV220" s="67"/>
      <c r="CGW220" s="31"/>
      <c r="CGX220" s="19"/>
      <c r="CGY220" s="67"/>
      <c r="CGZ220" s="67"/>
      <c r="CHA220" s="31"/>
      <c r="CHB220" s="19"/>
      <c r="CHC220" s="67"/>
      <c r="CHD220" s="67"/>
      <c r="CHE220" s="31"/>
      <c r="CHF220" s="19"/>
      <c r="CHG220" s="67"/>
      <c r="CHH220" s="67"/>
      <c r="CHI220" s="31"/>
      <c r="CHJ220" s="19"/>
      <c r="CHK220" s="67"/>
      <c r="CHL220" s="67"/>
      <c r="CHM220" s="31"/>
      <c r="CHN220" s="19"/>
      <c r="CHO220" s="67"/>
      <c r="CHP220" s="67"/>
      <c r="CHQ220" s="31"/>
      <c r="CHR220" s="19"/>
      <c r="CHS220" s="67"/>
      <c r="CHT220" s="67"/>
      <c r="CHU220" s="31"/>
      <c r="CHV220" s="19"/>
      <c r="CHW220" s="67"/>
      <c r="CHX220" s="67"/>
      <c r="CHY220" s="31"/>
      <c r="CHZ220" s="19"/>
      <c r="CIA220" s="67"/>
      <c r="CIB220" s="67"/>
      <c r="CIC220" s="31"/>
      <c r="CID220" s="19"/>
      <c r="CIE220" s="67"/>
      <c r="CIF220" s="67"/>
      <c r="CIG220" s="31"/>
      <c r="CIH220" s="19"/>
      <c r="CII220" s="67"/>
      <c r="CIJ220" s="67"/>
      <c r="CIK220" s="31"/>
      <c r="CIL220" s="19"/>
      <c r="CIM220" s="67"/>
      <c r="CIN220" s="67"/>
      <c r="CIO220" s="31"/>
      <c r="CIP220" s="19"/>
      <c r="CIQ220" s="67"/>
      <c r="CIR220" s="67"/>
      <c r="CIS220" s="31"/>
      <c r="CIT220" s="19"/>
      <c r="CIU220" s="67"/>
      <c r="CIV220" s="67"/>
      <c r="CIW220" s="31"/>
      <c r="CIX220" s="19"/>
      <c r="CIY220" s="67"/>
      <c r="CIZ220" s="67"/>
      <c r="CJA220" s="31"/>
      <c r="CJB220" s="19"/>
      <c r="CJC220" s="67"/>
      <c r="CJD220" s="67"/>
      <c r="CJE220" s="31"/>
      <c r="CJF220" s="19"/>
      <c r="CJG220" s="67"/>
      <c r="CJH220" s="67"/>
      <c r="CJI220" s="31"/>
      <c r="CJJ220" s="19"/>
      <c r="CJK220" s="67"/>
      <c r="CJL220" s="67"/>
      <c r="CJM220" s="31"/>
      <c r="CJN220" s="19"/>
      <c r="CJO220" s="67"/>
      <c r="CJP220" s="67"/>
      <c r="CJQ220" s="31"/>
      <c r="CJR220" s="19"/>
      <c r="CJS220" s="67"/>
      <c r="CJT220" s="67"/>
      <c r="CJU220" s="31"/>
      <c r="CJV220" s="19"/>
      <c r="CJW220" s="67"/>
      <c r="CJX220" s="67"/>
      <c r="CJY220" s="31"/>
      <c r="CJZ220" s="19"/>
      <c r="CKA220" s="67"/>
      <c r="CKB220" s="67"/>
      <c r="CKC220" s="31"/>
      <c r="CKD220" s="19"/>
      <c r="CKE220" s="67"/>
      <c r="CKF220" s="67"/>
      <c r="CKG220" s="31"/>
      <c r="CKH220" s="19"/>
      <c r="CKI220" s="67"/>
      <c r="CKJ220" s="67"/>
      <c r="CKK220" s="31"/>
      <c r="CKL220" s="19"/>
      <c r="CKM220" s="67"/>
      <c r="CKN220" s="67"/>
      <c r="CKO220" s="31"/>
      <c r="CKP220" s="19"/>
      <c r="CKQ220" s="67"/>
      <c r="CKR220" s="67"/>
      <c r="CKS220" s="31"/>
      <c r="CKT220" s="19"/>
      <c r="CKU220" s="67"/>
      <c r="CKV220" s="67"/>
      <c r="CKW220" s="31"/>
      <c r="CKX220" s="19"/>
      <c r="CKY220" s="67"/>
      <c r="CKZ220" s="67"/>
      <c r="CLA220" s="31"/>
      <c r="CLB220" s="19"/>
      <c r="CLC220" s="67"/>
      <c r="CLD220" s="67"/>
      <c r="CLE220" s="31"/>
      <c r="CLF220" s="19"/>
      <c r="CLG220" s="67"/>
      <c r="CLH220" s="67"/>
      <c r="CLI220" s="31"/>
      <c r="CLJ220" s="19"/>
      <c r="CLK220" s="67"/>
      <c r="CLL220" s="67"/>
      <c r="CLM220" s="31"/>
      <c r="CLN220" s="19"/>
      <c r="CLO220" s="67"/>
      <c r="CLP220" s="67"/>
      <c r="CLQ220" s="31"/>
      <c r="CLR220" s="19"/>
      <c r="CLS220" s="67"/>
      <c r="CLT220" s="67"/>
      <c r="CLU220" s="31"/>
      <c r="CLV220" s="19"/>
      <c r="CLW220" s="67"/>
      <c r="CLX220" s="67"/>
      <c r="CLY220" s="31"/>
      <c r="CLZ220" s="19"/>
      <c r="CMA220" s="67"/>
      <c r="CMB220" s="67"/>
      <c r="CMC220" s="31"/>
      <c r="CMD220" s="19"/>
      <c r="CME220" s="67"/>
      <c r="CMF220" s="67"/>
      <c r="CMG220" s="31"/>
      <c r="CMH220" s="19"/>
      <c r="CMI220" s="67"/>
      <c r="CMJ220" s="67"/>
      <c r="CMK220" s="31"/>
      <c r="CML220" s="19"/>
      <c r="CMM220" s="67"/>
      <c r="CMN220" s="67"/>
      <c r="CMO220" s="31"/>
      <c r="CMP220" s="19"/>
      <c r="CMQ220" s="67"/>
      <c r="CMR220" s="67"/>
      <c r="CMS220" s="31"/>
      <c r="CMT220" s="19"/>
      <c r="CMU220" s="67"/>
      <c r="CMV220" s="67"/>
      <c r="CMW220" s="31"/>
      <c r="CMX220" s="19"/>
      <c r="CMY220" s="67"/>
      <c r="CMZ220" s="67"/>
      <c r="CNA220" s="31"/>
      <c r="CNB220" s="19"/>
      <c r="CNC220" s="67"/>
      <c r="CND220" s="67"/>
      <c r="CNE220" s="31"/>
      <c r="CNF220" s="19"/>
      <c r="CNG220" s="67"/>
      <c r="CNH220" s="67"/>
      <c r="CNI220" s="31"/>
      <c r="CNJ220" s="19"/>
      <c r="CNK220" s="67"/>
      <c r="CNL220" s="67"/>
      <c r="CNM220" s="31"/>
      <c r="CNN220" s="19"/>
      <c r="CNO220" s="67"/>
      <c r="CNP220" s="67"/>
      <c r="CNQ220" s="31"/>
      <c r="CNR220" s="19"/>
      <c r="CNS220" s="67"/>
      <c r="CNT220" s="67"/>
      <c r="CNU220" s="31"/>
      <c r="CNV220" s="19"/>
      <c r="CNW220" s="67"/>
      <c r="CNX220" s="67"/>
      <c r="CNY220" s="31"/>
      <c r="CNZ220" s="19"/>
      <c r="COA220" s="67"/>
      <c r="COB220" s="67"/>
      <c r="COC220" s="31"/>
      <c r="COD220" s="19"/>
      <c r="COE220" s="67"/>
      <c r="COF220" s="67"/>
      <c r="COG220" s="31"/>
      <c r="COH220" s="19"/>
      <c r="COI220" s="67"/>
      <c r="COJ220" s="67"/>
      <c r="COK220" s="31"/>
      <c r="COL220" s="19"/>
      <c r="COM220" s="67"/>
      <c r="CON220" s="67"/>
      <c r="COO220" s="31"/>
      <c r="COP220" s="19"/>
      <c r="COQ220" s="67"/>
      <c r="COR220" s="67"/>
      <c r="COS220" s="31"/>
      <c r="COT220" s="19"/>
      <c r="COU220" s="67"/>
      <c r="COV220" s="67"/>
      <c r="COW220" s="31"/>
      <c r="COX220" s="19"/>
      <c r="COY220" s="67"/>
      <c r="COZ220" s="67"/>
      <c r="CPA220" s="31"/>
      <c r="CPB220" s="19"/>
      <c r="CPC220" s="67"/>
      <c r="CPD220" s="67"/>
      <c r="CPE220" s="31"/>
      <c r="CPF220" s="19"/>
      <c r="CPG220" s="67"/>
      <c r="CPH220" s="67"/>
      <c r="CPI220" s="31"/>
      <c r="CPJ220" s="19"/>
      <c r="CPK220" s="67"/>
      <c r="CPL220" s="67"/>
      <c r="CPM220" s="31"/>
      <c r="CPN220" s="19"/>
      <c r="CPO220" s="67"/>
      <c r="CPP220" s="67"/>
      <c r="CPQ220" s="31"/>
      <c r="CPR220" s="19"/>
      <c r="CPS220" s="67"/>
      <c r="CPT220" s="67"/>
      <c r="CPU220" s="31"/>
      <c r="CPV220" s="19"/>
      <c r="CPW220" s="67"/>
      <c r="CPX220" s="67"/>
      <c r="CPY220" s="31"/>
      <c r="CPZ220" s="19"/>
      <c r="CQA220" s="67"/>
      <c r="CQB220" s="67"/>
      <c r="CQC220" s="31"/>
      <c r="CQD220" s="19"/>
      <c r="CQE220" s="67"/>
      <c r="CQF220" s="67"/>
      <c r="CQG220" s="31"/>
      <c r="CQH220" s="19"/>
      <c r="CQI220" s="67"/>
      <c r="CQJ220" s="67"/>
      <c r="CQK220" s="31"/>
      <c r="CQL220" s="19"/>
      <c r="CQM220" s="67"/>
      <c r="CQN220" s="67"/>
      <c r="CQO220" s="31"/>
      <c r="CQP220" s="19"/>
      <c r="CQQ220" s="67"/>
      <c r="CQR220" s="67"/>
      <c r="CQS220" s="31"/>
      <c r="CQT220" s="19"/>
      <c r="CQU220" s="67"/>
      <c r="CQV220" s="67"/>
      <c r="CQW220" s="31"/>
      <c r="CQX220" s="19"/>
      <c r="CQY220" s="67"/>
      <c r="CQZ220" s="67"/>
      <c r="CRA220" s="31"/>
      <c r="CRB220" s="19"/>
      <c r="CRC220" s="67"/>
      <c r="CRD220" s="67"/>
      <c r="CRE220" s="31"/>
      <c r="CRF220" s="19"/>
      <c r="CRG220" s="67"/>
      <c r="CRH220" s="67"/>
      <c r="CRI220" s="31"/>
      <c r="CRJ220" s="19"/>
      <c r="CRK220" s="67"/>
      <c r="CRL220" s="67"/>
      <c r="CRM220" s="31"/>
      <c r="CRN220" s="19"/>
      <c r="CRO220" s="67"/>
      <c r="CRP220" s="67"/>
      <c r="CRQ220" s="31"/>
      <c r="CRR220" s="19"/>
      <c r="CRS220" s="67"/>
      <c r="CRT220" s="67"/>
      <c r="CRU220" s="31"/>
      <c r="CRV220" s="19"/>
      <c r="CRW220" s="67"/>
      <c r="CRX220" s="67"/>
      <c r="CRY220" s="31"/>
      <c r="CRZ220" s="19"/>
      <c r="CSA220" s="67"/>
      <c r="CSB220" s="67"/>
      <c r="CSC220" s="31"/>
      <c r="CSD220" s="19"/>
      <c r="CSE220" s="67"/>
      <c r="CSF220" s="67"/>
      <c r="CSG220" s="31"/>
      <c r="CSH220" s="19"/>
      <c r="CSI220" s="67"/>
      <c r="CSJ220" s="67"/>
      <c r="CSK220" s="31"/>
      <c r="CSL220" s="19"/>
      <c r="CSM220" s="67"/>
      <c r="CSN220" s="67"/>
      <c r="CSO220" s="31"/>
      <c r="CSP220" s="19"/>
      <c r="CSQ220" s="67"/>
      <c r="CSR220" s="67"/>
      <c r="CSS220" s="31"/>
      <c r="CST220" s="19"/>
      <c r="CSU220" s="67"/>
      <c r="CSV220" s="67"/>
      <c r="CSW220" s="31"/>
      <c r="CSX220" s="19"/>
      <c r="CSY220" s="67"/>
      <c r="CSZ220" s="67"/>
      <c r="CTA220" s="31"/>
      <c r="CTB220" s="19"/>
      <c r="CTC220" s="67"/>
      <c r="CTD220" s="67"/>
      <c r="CTE220" s="31"/>
      <c r="CTF220" s="19"/>
      <c r="CTG220" s="67"/>
      <c r="CTH220" s="67"/>
      <c r="CTI220" s="31"/>
      <c r="CTJ220" s="19"/>
      <c r="CTK220" s="67"/>
      <c r="CTL220" s="67"/>
      <c r="CTM220" s="31"/>
      <c r="CTN220" s="19"/>
      <c r="CTO220" s="67"/>
      <c r="CTP220" s="67"/>
      <c r="CTQ220" s="31"/>
      <c r="CTR220" s="19"/>
      <c r="CTS220" s="67"/>
      <c r="CTT220" s="67"/>
      <c r="CTU220" s="31"/>
      <c r="CTV220" s="19"/>
      <c r="CTW220" s="67"/>
      <c r="CTX220" s="67"/>
      <c r="CTY220" s="31"/>
      <c r="CTZ220" s="19"/>
      <c r="CUA220" s="67"/>
      <c r="CUB220" s="67"/>
      <c r="CUC220" s="31"/>
      <c r="CUD220" s="19"/>
      <c r="CUE220" s="67"/>
      <c r="CUF220" s="67"/>
      <c r="CUG220" s="31"/>
      <c r="CUH220" s="19"/>
      <c r="CUI220" s="67"/>
      <c r="CUJ220" s="67"/>
      <c r="CUK220" s="31"/>
      <c r="CUL220" s="19"/>
      <c r="CUM220" s="67"/>
      <c r="CUN220" s="67"/>
      <c r="CUO220" s="31"/>
      <c r="CUP220" s="19"/>
      <c r="CUQ220" s="67"/>
      <c r="CUR220" s="67"/>
      <c r="CUS220" s="31"/>
      <c r="CUT220" s="19"/>
      <c r="CUU220" s="67"/>
      <c r="CUV220" s="67"/>
      <c r="CUW220" s="31"/>
      <c r="CUX220" s="19"/>
      <c r="CUY220" s="67"/>
      <c r="CUZ220" s="67"/>
      <c r="CVA220" s="31"/>
      <c r="CVB220" s="19"/>
      <c r="CVC220" s="67"/>
      <c r="CVD220" s="67"/>
      <c r="CVE220" s="31"/>
      <c r="CVF220" s="19"/>
      <c r="CVG220" s="67"/>
      <c r="CVH220" s="67"/>
      <c r="CVI220" s="31"/>
      <c r="CVJ220" s="19"/>
      <c r="CVK220" s="67"/>
      <c r="CVL220" s="67"/>
      <c r="CVM220" s="31"/>
      <c r="CVN220" s="19"/>
      <c r="CVO220" s="67"/>
      <c r="CVP220" s="67"/>
      <c r="CVQ220" s="31"/>
      <c r="CVR220" s="19"/>
      <c r="CVS220" s="67"/>
      <c r="CVT220" s="67"/>
      <c r="CVU220" s="31"/>
      <c r="CVV220" s="19"/>
      <c r="CVW220" s="67"/>
      <c r="CVX220" s="67"/>
      <c r="CVY220" s="31"/>
      <c r="CVZ220" s="19"/>
      <c r="CWA220" s="67"/>
      <c r="CWB220" s="67"/>
      <c r="CWC220" s="31"/>
      <c r="CWD220" s="19"/>
      <c r="CWE220" s="67"/>
      <c r="CWF220" s="67"/>
      <c r="CWG220" s="31"/>
      <c r="CWH220" s="19"/>
      <c r="CWI220" s="67"/>
      <c r="CWJ220" s="67"/>
      <c r="CWK220" s="31"/>
      <c r="CWL220" s="19"/>
      <c r="CWM220" s="67"/>
      <c r="CWN220" s="67"/>
      <c r="CWO220" s="31"/>
      <c r="CWP220" s="19"/>
      <c r="CWQ220" s="67"/>
      <c r="CWR220" s="67"/>
      <c r="CWS220" s="31"/>
      <c r="CWT220" s="19"/>
      <c r="CWU220" s="67"/>
      <c r="CWV220" s="67"/>
      <c r="CWW220" s="31"/>
      <c r="CWX220" s="19"/>
      <c r="CWY220" s="67"/>
      <c r="CWZ220" s="67"/>
      <c r="CXA220" s="31"/>
      <c r="CXB220" s="19"/>
      <c r="CXC220" s="67"/>
      <c r="CXD220" s="67"/>
      <c r="CXE220" s="31"/>
      <c r="CXF220" s="19"/>
      <c r="CXG220" s="67"/>
      <c r="CXH220" s="67"/>
      <c r="CXI220" s="31"/>
      <c r="CXJ220" s="19"/>
      <c r="CXK220" s="67"/>
      <c r="CXL220" s="67"/>
      <c r="CXM220" s="31"/>
      <c r="CXN220" s="19"/>
      <c r="CXO220" s="67"/>
      <c r="CXP220" s="67"/>
      <c r="CXQ220" s="31"/>
      <c r="CXR220" s="19"/>
      <c r="CXS220" s="67"/>
      <c r="CXT220" s="67"/>
      <c r="CXU220" s="31"/>
      <c r="CXV220" s="19"/>
      <c r="CXW220" s="67"/>
      <c r="CXX220" s="67"/>
      <c r="CXY220" s="31"/>
      <c r="CXZ220" s="19"/>
      <c r="CYA220" s="67"/>
      <c r="CYB220" s="67"/>
      <c r="CYC220" s="31"/>
      <c r="CYD220" s="19"/>
      <c r="CYE220" s="67"/>
      <c r="CYF220" s="67"/>
      <c r="CYG220" s="31"/>
      <c r="CYH220" s="19"/>
      <c r="CYI220" s="67"/>
      <c r="CYJ220" s="67"/>
      <c r="CYK220" s="31"/>
      <c r="CYL220" s="19"/>
      <c r="CYM220" s="67"/>
      <c r="CYN220" s="67"/>
      <c r="CYO220" s="31"/>
      <c r="CYP220" s="19"/>
      <c r="CYQ220" s="67"/>
      <c r="CYR220" s="67"/>
      <c r="CYS220" s="31"/>
      <c r="CYT220" s="19"/>
      <c r="CYU220" s="67"/>
      <c r="CYV220" s="67"/>
      <c r="CYW220" s="31"/>
      <c r="CYX220" s="19"/>
      <c r="CYY220" s="67"/>
      <c r="CYZ220" s="67"/>
      <c r="CZA220" s="31"/>
      <c r="CZB220" s="19"/>
      <c r="CZC220" s="67"/>
      <c r="CZD220" s="67"/>
      <c r="CZE220" s="31"/>
      <c r="CZF220" s="19"/>
      <c r="CZG220" s="67"/>
      <c r="CZH220" s="67"/>
      <c r="CZI220" s="31"/>
      <c r="CZJ220" s="19"/>
      <c r="CZK220" s="67"/>
      <c r="CZL220" s="67"/>
      <c r="CZM220" s="31"/>
      <c r="CZN220" s="19"/>
      <c r="CZO220" s="67"/>
      <c r="CZP220" s="67"/>
      <c r="CZQ220" s="31"/>
      <c r="CZR220" s="19"/>
      <c r="CZS220" s="67"/>
      <c r="CZT220" s="67"/>
      <c r="CZU220" s="31"/>
      <c r="CZV220" s="19"/>
      <c r="CZW220" s="67"/>
      <c r="CZX220" s="67"/>
      <c r="CZY220" s="31"/>
      <c r="CZZ220" s="19"/>
      <c r="DAA220" s="67"/>
      <c r="DAB220" s="67"/>
      <c r="DAC220" s="31"/>
      <c r="DAD220" s="19"/>
      <c r="DAE220" s="67"/>
      <c r="DAF220" s="67"/>
      <c r="DAG220" s="31"/>
      <c r="DAH220" s="19"/>
      <c r="DAI220" s="67"/>
      <c r="DAJ220" s="67"/>
      <c r="DAK220" s="31"/>
      <c r="DAL220" s="19"/>
      <c r="DAM220" s="67"/>
      <c r="DAN220" s="67"/>
      <c r="DAO220" s="31"/>
      <c r="DAP220" s="19"/>
      <c r="DAQ220" s="67"/>
      <c r="DAR220" s="67"/>
      <c r="DAS220" s="31"/>
      <c r="DAT220" s="19"/>
      <c r="DAU220" s="67"/>
      <c r="DAV220" s="67"/>
      <c r="DAW220" s="31"/>
      <c r="DAX220" s="19"/>
      <c r="DAY220" s="67"/>
      <c r="DAZ220" s="67"/>
      <c r="DBA220" s="31"/>
      <c r="DBB220" s="19"/>
      <c r="DBC220" s="67"/>
      <c r="DBD220" s="67"/>
      <c r="DBE220" s="31"/>
      <c r="DBF220" s="19"/>
      <c r="DBG220" s="67"/>
      <c r="DBH220" s="67"/>
      <c r="DBI220" s="31"/>
      <c r="DBJ220" s="19"/>
      <c r="DBK220" s="67"/>
      <c r="DBL220" s="67"/>
      <c r="DBM220" s="31"/>
      <c r="DBN220" s="19"/>
      <c r="DBO220" s="67"/>
      <c r="DBP220" s="67"/>
      <c r="DBQ220" s="31"/>
      <c r="DBR220" s="19"/>
      <c r="DBS220" s="67"/>
      <c r="DBT220" s="67"/>
      <c r="DBU220" s="31"/>
      <c r="DBV220" s="19"/>
      <c r="DBW220" s="67"/>
      <c r="DBX220" s="67"/>
      <c r="DBY220" s="31"/>
      <c r="DBZ220" s="19"/>
      <c r="DCA220" s="67"/>
      <c r="DCB220" s="67"/>
      <c r="DCC220" s="31"/>
      <c r="DCD220" s="19"/>
      <c r="DCE220" s="67"/>
      <c r="DCF220" s="67"/>
      <c r="DCG220" s="31"/>
      <c r="DCH220" s="19"/>
      <c r="DCI220" s="67"/>
      <c r="DCJ220" s="67"/>
      <c r="DCK220" s="31"/>
      <c r="DCL220" s="19"/>
      <c r="DCM220" s="67"/>
      <c r="DCN220" s="67"/>
      <c r="DCO220" s="31"/>
      <c r="DCP220" s="19"/>
      <c r="DCQ220" s="67"/>
      <c r="DCR220" s="67"/>
      <c r="DCS220" s="31"/>
      <c r="DCT220" s="19"/>
      <c r="DCU220" s="67"/>
      <c r="DCV220" s="67"/>
      <c r="DCW220" s="31"/>
      <c r="DCX220" s="19"/>
      <c r="DCY220" s="67"/>
      <c r="DCZ220" s="67"/>
      <c r="DDA220" s="31"/>
      <c r="DDB220" s="19"/>
      <c r="DDC220" s="67"/>
      <c r="DDD220" s="67"/>
      <c r="DDE220" s="31"/>
      <c r="DDF220" s="19"/>
      <c r="DDG220" s="67"/>
      <c r="DDH220" s="67"/>
      <c r="DDI220" s="31"/>
      <c r="DDJ220" s="19"/>
      <c r="DDK220" s="67"/>
      <c r="DDL220" s="67"/>
      <c r="DDM220" s="31"/>
      <c r="DDN220" s="19"/>
      <c r="DDO220" s="67"/>
      <c r="DDP220" s="67"/>
      <c r="DDQ220" s="31"/>
      <c r="DDR220" s="19"/>
      <c r="DDS220" s="67"/>
      <c r="DDT220" s="67"/>
      <c r="DDU220" s="31"/>
      <c r="DDV220" s="19"/>
      <c r="DDW220" s="67"/>
      <c r="DDX220" s="67"/>
      <c r="DDY220" s="31"/>
      <c r="DDZ220" s="19"/>
      <c r="DEA220" s="67"/>
      <c r="DEB220" s="67"/>
      <c r="DEC220" s="31"/>
      <c r="DED220" s="19"/>
      <c r="DEE220" s="67"/>
      <c r="DEF220" s="67"/>
      <c r="DEG220" s="31"/>
      <c r="DEH220" s="19"/>
      <c r="DEI220" s="67"/>
      <c r="DEJ220" s="67"/>
      <c r="DEK220" s="31"/>
      <c r="DEL220" s="19"/>
      <c r="DEM220" s="67"/>
      <c r="DEN220" s="67"/>
      <c r="DEO220" s="31"/>
      <c r="DEP220" s="19"/>
      <c r="DEQ220" s="67"/>
      <c r="DER220" s="67"/>
      <c r="DES220" s="31"/>
      <c r="DET220" s="19"/>
      <c r="DEU220" s="67"/>
      <c r="DEV220" s="67"/>
      <c r="DEW220" s="31"/>
      <c r="DEX220" s="19"/>
      <c r="DEY220" s="67"/>
      <c r="DEZ220" s="67"/>
      <c r="DFA220" s="31"/>
      <c r="DFB220" s="19"/>
      <c r="DFC220" s="67"/>
      <c r="DFD220" s="67"/>
      <c r="DFE220" s="31"/>
      <c r="DFF220" s="19"/>
      <c r="DFG220" s="67"/>
      <c r="DFH220" s="67"/>
      <c r="DFI220" s="31"/>
      <c r="DFJ220" s="19"/>
      <c r="DFK220" s="67"/>
      <c r="DFL220" s="67"/>
      <c r="DFM220" s="31"/>
      <c r="DFN220" s="19"/>
      <c r="DFO220" s="67"/>
      <c r="DFP220" s="67"/>
      <c r="DFQ220" s="31"/>
      <c r="DFR220" s="19"/>
      <c r="DFS220" s="67"/>
      <c r="DFT220" s="67"/>
      <c r="DFU220" s="31"/>
      <c r="DFV220" s="19"/>
      <c r="DFW220" s="67"/>
      <c r="DFX220" s="67"/>
      <c r="DFY220" s="31"/>
      <c r="DFZ220" s="19"/>
      <c r="DGA220" s="67"/>
      <c r="DGB220" s="67"/>
      <c r="DGC220" s="31"/>
      <c r="DGD220" s="19"/>
      <c r="DGE220" s="67"/>
      <c r="DGF220" s="67"/>
      <c r="DGG220" s="31"/>
      <c r="DGH220" s="19"/>
      <c r="DGI220" s="67"/>
      <c r="DGJ220" s="67"/>
      <c r="DGK220" s="31"/>
      <c r="DGL220" s="19"/>
      <c r="DGM220" s="67"/>
      <c r="DGN220" s="67"/>
      <c r="DGO220" s="31"/>
      <c r="DGP220" s="19"/>
      <c r="DGQ220" s="67"/>
      <c r="DGR220" s="67"/>
      <c r="DGS220" s="31"/>
      <c r="DGT220" s="19"/>
      <c r="DGU220" s="67"/>
      <c r="DGV220" s="67"/>
      <c r="DGW220" s="31"/>
      <c r="DGX220" s="19"/>
      <c r="DGY220" s="67"/>
      <c r="DGZ220" s="67"/>
      <c r="DHA220" s="31"/>
      <c r="DHB220" s="19"/>
      <c r="DHC220" s="67"/>
      <c r="DHD220" s="67"/>
      <c r="DHE220" s="31"/>
      <c r="DHF220" s="19"/>
      <c r="DHG220" s="67"/>
      <c r="DHH220" s="67"/>
      <c r="DHI220" s="31"/>
      <c r="DHJ220" s="19"/>
      <c r="DHK220" s="67"/>
      <c r="DHL220" s="67"/>
      <c r="DHM220" s="31"/>
      <c r="DHN220" s="19"/>
      <c r="DHO220" s="67"/>
      <c r="DHP220" s="67"/>
      <c r="DHQ220" s="31"/>
      <c r="DHR220" s="19"/>
      <c r="DHS220" s="67"/>
      <c r="DHT220" s="67"/>
      <c r="DHU220" s="31"/>
      <c r="DHV220" s="19"/>
      <c r="DHW220" s="67"/>
      <c r="DHX220" s="67"/>
      <c r="DHY220" s="31"/>
      <c r="DHZ220" s="19"/>
      <c r="DIA220" s="67"/>
      <c r="DIB220" s="67"/>
      <c r="DIC220" s="31"/>
      <c r="DID220" s="19"/>
      <c r="DIE220" s="67"/>
      <c r="DIF220" s="67"/>
      <c r="DIG220" s="31"/>
      <c r="DIH220" s="19"/>
      <c r="DII220" s="67"/>
      <c r="DIJ220" s="67"/>
      <c r="DIK220" s="31"/>
      <c r="DIL220" s="19"/>
      <c r="DIM220" s="67"/>
      <c r="DIN220" s="67"/>
      <c r="DIO220" s="31"/>
      <c r="DIP220" s="19"/>
      <c r="DIQ220" s="67"/>
      <c r="DIR220" s="67"/>
      <c r="DIS220" s="31"/>
      <c r="DIT220" s="19"/>
      <c r="DIU220" s="67"/>
      <c r="DIV220" s="67"/>
      <c r="DIW220" s="31"/>
      <c r="DIX220" s="19"/>
      <c r="DIY220" s="67"/>
      <c r="DIZ220" s="67"/>
      <c r="DJA220" s="31"/>
      <c r="DJB220" s="19"/>
      <c r="DJC220" s="67"/>
      <c r="DJD220" s="67"/>
      <c r="DJE220" s="31"/>
      <c r="DJF220" s="19"/>
      <c r="DJG220" s="67"/>
      <c r="DJH220" s="67"/>
      <c r="DJI220" s="31"/>
      <c r="DJJ220" s="19"/>
      <c r="DJK220" s="67"/>
      <c r="DJL220" s="67"/>
      <c r="DJM220" s="31"/>
      <c r="DJN220" s="19"/>
      <c r="DJO220" s="67"/>
      <c r="DJP220" s="67"/>
      <c r="DJQ220" s="31"/>
      <c r="DJR220" s="19"/>
      <c r="DJS220" s="67"/>
      <c r="DJT220" s="67"/>
      <c r="DJU220" s="31"/>
      <c r="DJV220" s="19"/>
      <c r="DJW220" s="67"/>
      <c r="DJX220" s="67"/>
      <c r="DJY220" s="31"/>
      <c r="DJZ220" s="19"/>
      <c r="DKA220" s="67"/>
      <c r="DKB220" s="67"/>
      <c r="DKC220" s="31"/>
      <c r="DKD220" s="19"/>
      <c r="DKE220" s="67"/>
      <c r="DKF220" s="67"/>
      <c r="DKG220" s="31"/>
      <c r="DKH220" s="19"/>
      <c r="DKI220" s="67"/>
      <c r="DKJ220" s="67"/>
      <c r="DKK220" s="31"/>
      <c r="DKL220" s="19"/>
      <c r="DKM220" s="67"/>
      <c r="DKN220" s="67"/>
      <c r="DKO220" s="31"/>
      <c r="DKP220" s="19"/>
      <c r="DKQ220" s="67"/>
      <c r="DKR220" s="67"/>
      <c r="DKS220" s="31"/>
      <c r="DKT220" s="19"/>
      <c r="DKU220" s="67"/>
      <c r="DKV220" s="67"/>
      <c r="DKW220" s="31"/>
      <c r="DKX220" s="19"/>
      <c r="DKY220" s="67"/>
      <c r="DKZ220" s="67"/>
      <c r="DLA220" s="31"/>
      <c r="DLB220" s="19"/>
      <c r="DLC220" s="67"/>
      <c r="DLD220" s="67"/>
      <c r="DLE220" s="31"/>
      <c r="DLF220" s="19"/>
      <c r="DLG220" s="67"/>
      <c r="DLH220" s="67"/>
      <c r="DLI220" s="31"/>
      <c r="DLJ220" s="19"/>
      <c r="DLK220" s="67"/>
      <c r="DLL220" s="67"/>
      <c r="DLM220" s="31"/>
      <c r="DLN220" s="19"/>
      <c r="DLO220" s="67"/>
      <c r="DLP220" s="67"/>
      <c r="DLQ220" s="31"/>
      <c r="DLR220" s="19"/>
      <c r="DLS220" s="67"/>
      <c r="DLT220" s="67"/>
      <c r="DLU220" s="31"/>
      <c r="DLV220" s="19"/>
      <c r="DLW220" s="67"/>
      <c r="DLX220" s="67"/>
      <c r="DLY220" s="31"/>
      <c r="DLZ220" s="19"/>
      <c r="DMA220" s="67"/>
      <c r="DMB220" s="67"/>
      <c r="DMC220" s="31"/>
      <c r="DMD220" s="19"/>
      <c r="DME220" s="67"/>
      <c r="DMF220" s="67"/>
      <c r="DMG220" s="31"/>
      <c r="DMH220" s="19"/>
      <c r="DMI220" s="67"/>
      <c r="DMJ220" s="67"/>
      <c r="DMK220" s="31"/>
      <c r="DML220" s="19"/>
      <c r="DMM220" s="67"/>
      <c r="DMN220" s="67"/>
      <c r="DMO220" s="31"/>
      <c r="DMP220" s="19"/>
      <c r="DMQ220" s="67"/>
      <c r="DMR220" s="67"/>
      <c r="DMS220" s="31"/>
      <c r="DMT220" s="19"/>
      <c r="DMU220" s="67"/>
      <c r="DMV220" s="67"/>
      <c r="DMW220" s="31"/>
      <c r="DMX220" s="19"/>
      <c r="DMY220" s="67"/>
      <c r="DMZ220" s="67"/>
      <c r="DNA220" s="31"/>
      <c r="DNB220" s="19"/>
      <c r="DNC220" s="67"/>
      <c r="DND220" s="67"/>
      <c r="DNE220" s="31"/>
      <c r="DNF220" s="19"/>
      <c r="DNG220" s="67"/>
      <c r="DNH220" s="67"/>
      <c r="DNI220" s="31"/>
      <c r="DNJ220" s="19"/>
      <c r="DNK220" s="67"/>
      <c r="DNL220" s="67"/>
      <c r="DNM220" s="31"/>
      <c r="DNN220" s="19"/>
      <c r="DNO220" s="67"/>
      <c r="DNP220" s="67"/>
      <c r="DNQ220" s="31"/>
      <c r="DNR220" s="19"/>
      <c r="DNS220" s="67"/>
      <c r="DNT220" s="67"/>
      <c r="DNU220" s="31"/>
      <c r="DNV220" s="19"/>
      <c r="DNW220" s="67"/>
      <c r="DNX220" s="67"/>
      <c r="DNY220" s="31"/>
      <c r="DNZ220" s="19"/>
      <c r="DOA220" s="67"/>
      <c r="DOB220" s="67"/>
      <c r="DOC220" s="31"/>
      <c r="DOD220" s="19"/>
      <c r="DOE220" s="67"/>
      <c r="DOF220" s="67"/>
      <c r="DOG220" s="31"/>
      <c r="DOH220" s="19"/>
      <c r="DOI220" s="67"/>
      <c r="DOJ220" s="67"/>
      <c r="DOK220" s="31"/>
      <c r="DOL220" s="19"/>
      <c r="DOM220" s="67"/>
      <c r="DON220" s="67"/>
      <c r="DOO220" s="31"/>
      <c r="DOP220" s="19"/>
      <c r="DOQ220" s="67"/>
      <c r="DOR220" s="67"/>
      <c r="DOS220" s="31"/>
      <c r="DOT220" s="19"/>
      <c r="DOU220" s="67"/>
      <c r="DOV220" s="67"/>
      <c r="DOW220" s="31"/>
      <c r="DOX220" s="19"/>
      <c r="DOY220" s="67"/>
      <c r="DOZ220" s="67"/>
      <c r="DPA220" s="31"/>
      <c r="DPB220" s="19"/>
      <c r="DPC220" s="67"/>
      <c r="DPD220" s="67"/>
      <c r="DPE220" s="31"/>
      <c r="DPF220" s="19"/>
      <c r="DPG220" s="67"/>
      <c r="DPH220" s="67"/>
      <c r="DPI220" s="31"/>
      <c r="DPJ220" s="19"/>
      <c r="DPK220" s="67"/>
      <c r="DPL220" s="67"/>
      <c r="DPM220" s="31"/>
      <c r="DPN220" s="19"/>
      <c r="DPO220" s="67"/>
      <c r="DPP220" s="67"/>
      <c r="DPQ220" s="31"/>
      <c r="DPR220" s="19"/>
      <c r="DPS220" s="67"/>
      <c r="DPT220" s="67"/>
      <c r="DPU220" s="31"/>
      <c r="DPV220" s="19"/>
      <c r="DPW220" s="67"/>
      <c r="DPX220" s="67"/>
      <c r="DPY220" s="31"/>
      <c r="DPZ220" s="19"/>
      <c r="DQA220" s="67"/>
      <c r="DQB220" s="67"/>
      <c r="DQC220" s="31"/>
      <c r="DQD220" s="19"/>
      <c r="DQE220" s="67"/>
      <c r="DQF220" s="67"/>
      <c r="DQG220" s="31"/>
      <c r="DQH220" s="19"/>
      <c r="DQI220" s="67"/>
      <c r="DQJ220" s="67"/>
      <c r="DQK220" s="31"/>
      <c r="DQL220" s="19"/>
      <c r="DQM220" s="67"/>
      <c r="DQN220" s="67"/>
      <c r="DQO220" s="31"/>
      <c r="DQP220" s="19"/>
      <c r="DQQ220" s="67"/>
      <c r="DQR220" s="67"/>
      <c r="DQS220" s="31"/>
      <c r="DQT220" s="19"/>
      <c r="DQU220" s="67"/>
      <c r="DQV220" s="67"/>
      <c r="DQW220" s="31"/>
      <c r="DQX220" s="19"/>
      <c r="DQY220" s="67"/>
      <c r="DQZ220" s="67"/>
      <c r="DRA220" s="31"/>
      <c r="DRB220" s="19"/>
      <c r="DRC220" s="67"/>
      <c r="DRD220" s="67"/>
      <c r="DRE220" s="31"/>
      <c r="DRF220" s="19"/>
      <c r="DRG220" s="67"/>
      <c r="DRH220" s="67"/>
      <c r="DRI220" s="31"/>
      <c r="DRJ220" s="19"/>
      <c r="DRK220" s="67"/>
      <c r="DRL220" s="67"/>
      <c r="DRM220" s="31"/>
      <c r="DRN220" s="19"/>
      <c r="DRO220" s="67"/>
      <c r="DRP220" s="67"/>
      <c r="DRQ220" s="31"/>
      <c r="DRR220" s="19"/>
      <c r="DRS220" s="67"/>
      <c r="DRT220" s="67"/>
      <c r="DRU220" s="31"/>
      <c r="DRV220" s="19"/>
      <c r="DRW220" s="67"/>
      <c r="DRX220" s="67"/>
      <c r="DRY220" s="31"/>
      <c r="DRZ220" s="19"/>
      <c r="DSA220" s="67"/>
      <c r="DSB220" s="67"/>
      <c r="DSC220" s="31"/>
      <c r="DSD220" s="19"/>
      <c r="DSE220" s="67"/>
      <c r="DSF220" s="67"/>
      <c r="DSG220" s="31"/>
      <c r="DSH220" s="19"/>
      <c r="DSI220" s="67"/>
      <c r="DSJ220" s="67"/>
      <c r="DSK220" s="31"/>
      <c r="DSL220" s="19"/>
      <c r="DSM220" s="67"/>
      <c r="DSN220" s="67"/>
      <c r="DSO220" s="31"/>
      <c r="DSP220" s="19"/>
      <c r="DSQ220" s="67"/>
      <c r="DSR220" s="67"/>
      <c r="DSS220" s="31"/>
      <c r="DST220" s="19"/>
      <c r="DSU220" s="67"/>
      <c r="DSV220" s="67"/>
      <c r="DSW220" s="31"/>
      <c r="DSX220" s="19"/>
      <c r="DSY220" s="67"/>
      <c r="DSZ220" s="67"/>
      <c r="DTA220" s="31"/>
      <c r="DTB220" s="19"/>
      <c r="DTC220" s="67"/>
      <c r="DTD220" s="67"/>
      <c r="DTE220" s="31"/>
      <c r="DTF220" s="19"/>
      <c r="DTG220" s="67"/>
      <c r="DTH220" s="67"/>
      <c r="DTI220" s="31"/>
      <c r="DTJ220" s="19"/>
      <c r="DTK220" s="67"/>
      <c r="DTL220" s="67"/>
      <c r="DTM220" s="31"/>
      <c r="DTN220" s="19"/>
      <c r="DTO220" s="67"/>
      <c r="DTP220" s="67"/>
      <c r="DTQ220" s="31"/>
      <c r="DTR220" s="19"/>
      <c r="DTS220" s="67"/>
      <c r="DTT220" s="67"/>
      <c r="DTU220" s="31"/>
      <c r="DTV220" s="19"/>
      <c r="DTW220" s="67"/>
      <c r="DTX220" s="67"/>
      <c r="DTY220" s="31"/>
      <c r="DTZ220" s="19"/>
      <c r="DUA220" s="67"/>
      <c r="DUB220" s="67"/>
      <c r="DUC220" s="31"/>
      <c r="DUD220" s="19"/>
      <c r="DUE220" s="67"/>
      <c r="DUF220" s="67"/>
      <c r="DUG220" s="31"/>
      <c r="DUH220" s="19"/>
      <c r="DUI220" s="67"/>
      <c r="DUJ220" s="67"/>
      <c r="DUK220" s="31"/>
      <c r="DUL220" s="19"/>
      <c r="DUM220" s="67"/>
      <c r="DUN220" s="67"/>
      <c r="DUO220" s="31"/>
      <c r="DUP220" s="19"/>
      <c r="DUQ220" s="67"/>
      <c r="DUR220" s="67"/>
      <c r="DUS220" s="31"/>
      <c r="DUT220" s="19"/>
      <c r="DUU220" s="67"/>
      <c r="DUV220" s="67"/>
      <c r="DUW220" s="31"/>
      <c r="DUX220" s="19"/>
      <c r="DUY220" s="67"/>
      <c r="DUZ220" s="67"/>
      <c r="DVA220" s="31"/>
      <c r="DVB220" s="19"/>
      <c r="DVC220" s="67"/>
      <c r="DVD220" s="67"/>
      <c r="DVE220" s="31"/>
      <c r="DVF220" s="19"/>
      <c r="DVG220" s="67"/>
      <c r="DVH220" s="67"/>
      <c r="DVI220" s="31"/>
      <c r="DVJ220" s="19"/>
      <c r="DVK220" s="67"/>
      <c r="DVL220" s="67"/>
      <c r="DVM220" s="31"/>
      <c r="DVN220" s="19"/>
      <c r="DVO220" s="67"/>
      <c r="DVP220" s="67"/>
      <c r="DVQ220" s="31"/>
      <c r="DVR220" s="19"/>
      <c r="DVS220" s="67"/>
      <c r="DVT220" s="67"/>
      <c r="DVU220" s="31"/>
      <c r="DVV220" s="19"/>
      <c r="DVW220" s="67"/>
      <c r="DVX220" s="67"/>
      <c r="DVY220" s="31"/>
      <c r="DVZ220" s="19"/>
      <c r="DWA220" s="67"/>
      <c r="DWB220" s="67"/>
      <c r="DWC220" s="31"/>
      <c r="DWD220" s="19"/>
      <c r="DWE220" s="67"/>
      <c r="DWF220" s="67"/>
      <c r="DWG220" s="31"/>
      <c r="DWH220" s="19"/>
      <c r="DWI220" s="67"/>
      <c r="DWJ220" s="67"/>
      <c r="DWK220" s="31"/>
      <c r="DWL220" s="19"/>
      <c r="DWM220" s="67"/>
      <c r="DWN220" s="67"/>
      <c r="DWO220" s="31"/>
      <c r="DWP220" s="19"/>
      <c r="DWQ220" s="67"/>
      <c r="DWR220" s="67"/>
      <c r="DWS220" s="31"/>
      <c r="DWT220" s="19"/>
      <c r="DWU220" s="67"/>
      <c r="DWV220" s="67"/>
      <c r="DWW220" s="31"/>
      <c r="DWX220" s="19"/>
      <c r="DWY220" s="67"/>
      <c r="DWZ220" s="67"/>
      <c r="DXA220" s="31"/>
      <c r="DXB220" s="19"/>
      <c r="DXC220" s="67"/>
      <c r="DXD220" s="67"/>
      <c r="DXE220" s="31"/>
      <c r="DXF220" s="19"/>
      <c r="DXG220" s="67"/>
      <c r="DXH220" s="67"/>
      <c r="DXI220" s="31"/>
      <c r="DXJ220" s="19"/>
      <c r="DXK220" s="67"/>
      <c r="DXL220" s="67"/>
      <c r="DXM220" s="31"/>
      <c r="DXN220" s="19"/>
      <c r="DXO220" s="67"/>
      <c r="DXP220" s="67"/>
      <c r="DXQ220" s="31"/>
      <c r="DXR220" s="19"/>
      <c r="DXS220" s="67"/>
      <c r="DXT220" s="67"/>
      <c r="DXU220" s="31"/>
      <c r="DXV220" s="19"/>
      <c r="DXW220" s="67"/>
      <c r="DXX220" s="67"/>
      <c r="DXY220" s="31"/>
      <c r="DXZ220" s="19"/>
      <c r="DYA220" s="67"/>
      <c r="DYB220" s="67"/>
      <c r="DYC220" s="31"/>
      <c r="DYD220" s="19"/>
      <c r="DYE220" s="67"/>
      <c r="DYF220" s="67"/>
      <c r="DYG220" s="31"/>
      <c r="DYH220" s="19"/>
      <c r="DYI220" s="67"/>
      <c r="DYJ220" s="67"/>
      <c r="DYK220" s="31"/>
      <c r="DYL220" s="19"/>
      <c r="DYM220" s="67"/>
      <c r="DYN220" s="67"/>
      <c r="DYO220" s="31"/>
      <c r="DYP220" s="19"/>
      <c r="DYQ220" s="67"/>
      <c r="DYR220" s="67"/>
      <c r="DYS220" s="31"/>
      <c r="DYT220" s="19"/>
      <c r="DYU220" s="67"/>
      <c r="DYV220" s="67"/>
      <c r="DYW220" s="31"/>
      <c r="DYX220" s="19"/>
      <c r="DYY220" s="67"/>
      <c r="DYZ220" s="67"/>
      <c r="DZA220" s="31"/>
      <c r="DZB220" s="19"/>
      <c r="DZC220" s="67"/>
      <c r="DZD220" s="67"/>
      <c r="DZE220" s="31"/>
      <c r="DZF220" s="19"/>
      <c r="DZG220" s="67"/>
      <c r="DZH220" s="67"/>
      <c r="DZI220" s="31"/>
      <c r="DZJ220" s="19"/>
      <c r="DZK220" s="67"/>
      <c r="DZL220" s="67"/>
      <c r="DZM220" s="31"/>
      <c r="DZN220" s="19"/>
      <c r="DZO220" s="67"/>
      <c r="DZP220" s="67"/>
      <c r="DZQ220" s="31"/>
      <c r="DZR220" s="19"/>
      <c r="DZS220" s="67"/>
      <c r="DZT220" s="67"/>
      <c r="DZU220" s="31"/>
      <c r="DZV220" s="19"/>
      <c r="DZW220" s="67"/>
      <c r="DZX220" s="67"/>
      <c r="DZY220" s="31"/>
      <c r="DZZ220" s="19"/>
      <c r="EAA220" s="67"/>
      <c r="EAB220" s="67"/>
      <c r="EAC220" s="31"/>
      <c r="EAD220" s="19"/>
      <c r="EAE220" s="67"/>
      <c r="EAF220" s="67"/>
      <c r="EAG220" s="31"/>
      <c r="EAH220" s="19"/>
      <c r="EAI220" s="67"/>
      <c r="EAJ220" s="67"/>
      <c r="EAK220" s="31"/>
      <c r="EAL220" s="19"/>
      <c r="EAM220" s="67"/>
      <c r="EAN220" s="67"/>
      <c r="EAO220" s="31"/>
      <c r="EAP220" s="19"/>
      <c r="EAQ220" s="67"/>
      <c r="EAR220" s="67"/>
      <c r="EAS220" s="31"/>
      <c r="EAT220" s="19"/>
      <c r="EAU220" s="67"/>
      <c r="EAV220" s="67"/>
      <c r="EAW220" s="31"/>
      <c r="EAX220" s="19"/>
      <c r="EAY220" s="67"/>
      <c r="EAZ220" s="67"/>
      <c r="EBA220" s="31"/>
      <c r="EBB220" s="19"/>
      <c r="EBC220" s="67"/>
      <c r="EBD220" s="67"/>
      <c r="EBE220" s="31"/>
      <c r="EBF220" s="19"/>
      <c r="EBG220" s="67"/>
      <c r="EBH220" s="67"/>
      <c r="EBI220" s="31"/>
      <c r="EBJ220" s="19"/>
      <c r="EBK220" s="67"/>
      <c r="EBL220" s="67"/>
      <c r="EBM220" s="31"/>
      <c r="EBN220" s="19"/>
      <c r="EBO220" s="67"/>
      <c r="EBP220" s="67"/>
      <c r="EBQ220" s="31"/>
      <c r="EBR220" s="19"/>
      <c r="EBS220" s="67"/>
      <c r="EBT220" s="67"/>
      <c r="EBU220" s="31"/>
      <c r="EBV220" s="19"/>
      <c r="EBW220" s="67"/>
      <c r="EBX220" s="67"/>
      <c r="EBY220" s="31"/>
      <c r="EBZ220" s="19"/>
      <c r="ECA220" s="67"/>
      <c r="ECB220" s="67"/>
      <c r="ECC220" s="31"/>
      <c r="ECD220" s="19"/>
      <c r="ECE220" s="67"/>
      <c r="ECF220" s="67"/>
      <c r="ECG220" s="31"/>
      <c r="ECH220" s="19"/>
      <c r="ECI220" s="67"/>
      <c r="ECJ220" s="67"/>
      <c r="ECK220" s="31"/>
      <c r="ECL220" s="19"/>
      <c r="ECM220" s="67"/>
      <c r="ECN220" s="67"/>
      <c r="ECO220" s="31"/>
      <c r="ECP220" s="19"/>
      <c r="ECQ220" s="67"/>
      <c r="ECR220" s="67"/>
      <c r="ECS220" s="31"/>
      <c r="ECT220" s="19"/>
      <c r="ECU220" s="67"/>
      <c r="ECV220" s="67"/>
      <c r="ECW220" s="31"/>
      <c r="ECX220" s="19"/>
      <c r="ECY220" s="67"/>
      <c r="ECZ220" s="67"/>
      <c r="EDA220" s="31"/>
      <c r="EDB220" s="19"/>
      <c r="EDC220" s="67"/>
      <c r="EDD220" s="67"/>
      <c r="EDE220" s="31"/>
      <c r="EDF220" s="19"/>
      <c r="EDG220" s="67"/>
      <c r="EDH220" s="67"/>
      <c r="EDI220" s="31"/>
      <c r="EDJ220" s="19"/>
      <c r="EDK220" s="67"/>
      <c r="EDL220" s="67"/>
      <c r="EDM220" s="31"/>
      <c r="EDN220" s="19"/>
      <c r="EDO220" s="67"/>
      <c r="EDP220" s="67"/>
      <c r="EDQ220" s="31"/>
      <c r="EDR220" s="19"/>
      <c r="EDS220" s="67"/>
      <c r="EDT220" s="67"/>
      <c r="EDU220" s="31"/>
      <c r="EDV220" s="19"/>
      <c r="EDW220" s="67"/>
      <c r="EDX220" s="67"/>
      <c r="EDY220" s="31"/>
      <c r="EDZ220" s="19"/>
      <c r="EEA220" s="67"/>
      <c r="EEB220" s="67"/>
      <c r="EEC220" s="31"/>
      <c r="EED220" s="19"/>
      <c r="EEE220" s="67"/>
      <c r="EEF220" s="67"/>
      <c r="EEG220" s="31"/>
      <c r="EEH220" s="19"/>
      <c r="EEI220" s="67"/>
      <c r="EEJ220" s="67"/>
      <c r="EEK220" s="31"/>
      <c r="EEL220" s="19"/>
      <c r="EEM220" s="67"/>
      <c r="EEN220" s="67"/>
      <c r="EEO220" s="31"/>
      <c r="EEP220" s="19"/>
      <c r="EEQ220" s="67"/>
      <c r="EER220" s="67"/>
      <c r="EES220" s="31"/>
      <c r="EET220" s="19"/>
      <c r="EEU220" s="67"/>
      <c r="EEV220" s="67"/>
      <c r="EEW220" s="31"/>
      <c r="EEX220" s="19"/>
      <c r="EEY220" s="67"/>
      <c r="EEZ220" s="67"/>
      <c r="EFA220" s="31"/>
      <c r="EFB220" s="19"/>
      <c r="EFC220" s="67"/>
      <c r="EFD220" s="67"/>
      <c r="EFE220" s="31"/>
      <c r="EFF220" s="19"/>
      <c r="EFG220" s="67"/>
      <c r="EFH220" s="67"/>
      <c r="EFI220" s="31"/>
      <c r="EFJ220" s="19"/>
      <c r="EFK220" s="67"/>
      <c r="EFL220" s="67"/>
      <c r="EFM220" s="31"/>
      <c r="EFN220" s="19"/>
      <c r="EFO220" s="67"/>
      <c r="EFP220" s="67"/>
      <c r="EFQ220" s="31"/>
      <c r="EFR220" s="19"/>
      <c r="EFS220" s="67"/>
      <c r="EFT220" s="67"/>
      <c r="EFU220" s="31"/>
      <c r="EFV220" s="19"/>
      <c r="EFW220" s="67"/>
      <c r="EFX220" s="67"/>
      <c r="EFY220" s="31"/>
      <c r="EFZ220" s="19"/>
      <c r="EGA220" s="67"/>
      <c r="EGB220" s="67"/>
      <c r="EGC220" s="31"/>
      <c r="EGD220" s="19"/>
      <c r="EGE220" s="67"/>
      <c r="EGF220" s="67"/>
      <c r="EGG220" s="31"/>
      <c r="EGH220" s="19"/>
      <c r="EGI220" s="67"/>
      <c r="EGJ220" s="67"/>
      <c r="EGK220" s="31"/>
      <c r="EGL220" s="19"/>
      <c r="EGM220" s="67"/>
      <c r="EGN220" s="67"/>
      <c r="EGO220" s="31"/>
      <c r="EGP220" s="19"/>
      <c r="EGQ220" s="67"/>
      <c r="EGR220" s="67"/>
      <c r="EGS220" s="31"/>
      <c r="EGT220" s="19"/>
      <c r="EGU220" s="67"/>
      <c r="EGV220" s="67"/>
      <c r="EGW220" s="31"/>
      <c r="EGX220" s="19"/>
      <c r="EGY220" s="67"/>
      <c r="EGZ220" s="67"/>
      <c r="EHA220" s="31"/>
      <c r="EHB220" s="19"/>
      <c r="EHC220" s="67"/>
      <c r="EHD220" s="67"/>
      <c r="EHE220" s="31"/>
      <c r="EHF220" s="19"/>
      <c r="EHG220" s="67"/>
      <c r="EHH220" s="67"/>
      <c r="EHI220" s="31"/>
      <c r="EHJ220" s="19"/>
      <c r="EHK220" s="67"/>
      <c r="EHL220" s="67"/>
      <c r="EHM220" s="31"/>
      <c r="EHN220" s="19"/>
      <c r="EHO220" s="67"/>
      <c r="EHP220" s="67"/>
      <c r="EHQ220" s="31"/>
      <c r="EHR220" s="19"/>
      <c r="EHS220" s="67"/>
      <c r="EHT220" s="67"/>
      <c r="EHU220" s="31"/>
      <c r="EHV220" s="19"/>
      <c r="EHW220" s="67"/>
      <c r="EHX220" s="67"/>
      <c r="EHY220" s="31"/>
      <c r="EHZ220" s="19"/>
      <c r="EIA220" s="67"/>
      <c r="EIB220" s="67"/>
      <c r="EIC220" s="31"/>
      <c r="EID220" s="19"/>
      <c r="EIE220" s="67"/>
      <c r="EIF220" s="67"/>
      <c r="EIG220" s="31"/>
      <c r="EIH220" s="19"/>
      <c r="EII220" s="67"/>
      <c r="EIJ220" s="67"/>
      <c r="EIK220" s="31"/>
      <c r="EIL220" s="19"/>
      <c r="EIM220" s="67"/>
      <c r="EIN220" s="67"/>
      <c r="EIO220" s="31"/>
      <c r="EIP220" s="19"/>
      <c r="EIQ220" s="67"/>
      <c r="EIR220" s="67"/>
      <c r="EIS220" s="31"/>
      <c r="EIT220" s="19"/>
      <c r="EIU220" s="67"/>
      <c r="EIV220" s="67"/>
      <c r="EIW220" s="31"/>
      <c r="EIX220" s="19"/>
      <c r="EIY220" s="67"/>
      <c r="EIZ220" s="67"/>
      <c r="EJA220" s="31"/>
      <c r="EJB220" s="19"/>
      <c r="EJC220" s="67"/>
      <c r="EJD220" s="67"/>
      <c r="EJE220" s="31"/>
      <c r="EJF220" s="19"/>
      <c r="EJG220" s="67"/>
      <c r="EJH220" s="67"/>
      <c r="EJI220" s="31"/>
      <c r="EJJ220" s="19"/>
      <c r="EJK220" s="67"/>
      <c r="EJL220" s="67"/>
      <c r="EJM220" s="31"/>
      <c r="EJN220" s="19"/>
      <c r="EJO220" s="67"/>
      <c r="EJP220" s="67"/>
      <c r="EJQ220" s="31"/>
      <c r="EJR220" s="19"/>
      <c r="EJS220" s="67"/>
      <c r="EJT220" s="67"/>
      <c r="EJU220" s="31"/>
      <c r="EJV220" s="19"/>
      <c r="EJW220" s="67"/>
      <c r="EJX220" s="67"/>
      <c r="EJY220" s="31"/>
      <c r="EJZ220" s="19"/>
      <c r="EKA220" s="67"/>
      <c r="EKB220" s="67"/>
      <c r="EKC220" s="31"/>
      <c r="EKD220" s="19"/>
      <c r="EKE220" s="67"/>
      <c r="EKF220" s="67"/>
      <c r="EKG220" s="31"/>
      <c r="EKH220" s="19"/>
      <c r="EKI220" s="67"/>
      <c r="EKJ220" s="67"/>
      <c r="EKK220" s="31"/>
      <c r="EKL220" s="19"/>
      <c r="EKM220" s="67"/>
      <c r="EKN220" s="67"/>
      <c r="EKO220" s="31"/>
      <c r="EKP220" s="19"/>
      <c r="EKQ220" s="67"/>
      <c r="EKR220" s="67"/>
      <c r="EKS220" s="31"/>
      <c r="EKT220" s="19"/>
      <c r="EKU220" s="67"/>
      <c r="EKV220" s="67"/>
      <c r="EKW220" s="31"/>
      <c r="EKX220" s="19"/>
      <c r="EKY220" s="67"/>
      <c r="EKZ220" s="67"/>
      <c r="ELA220" s="31"/>
      <c r="ELB220" s="19"/>
      <c r="ELC220" s="67"/>
      <c r="ELD220" s="67"/>
      <c r="ELE220" s="31"/>
      <c r="ELF220" s="19"/>
      <c r="ELG220" s="67"/>
      <c r="ELH220" s="67"/>
      <c r="ELI220" s="31"/>
      <c r="ELJ220" s="19"/>
      <c r="ELK220" s="67"/>
      <c r="ELL220" s="67"/>
      <c r="ELM220" s="31"/>
      <c r="ELN220" s="19"/>
      <c r="ELO220" s="67"/>
      <c r="ELP220" s="67"/>
      <c r="ELQ220" s="31"/>
      <c r="ELR220" s="19"/>
      <c r="ELS220" s="67"/>
      <c r="ELT220" s="67"/>
      <c r="ELU220" s="31"/>
      <c r="ELV220" s="19"/>
      <c r="ELW220" s="67"/>
      <c r="ELX220" s="67"/>
      <c r="ELY220" s="31"/>
      <c r="ELZ220" s="19"/>
      <c r="EMA220" s="67"/>
      <c r="EMB220" s="67"/>
      <c r="EMC220" s="31"/>
      <c r="EMD220" s="19"/>
      <c r="EME220" s="67"/>
      <c r="EMF220" s="67"/>
      <c r="EMG220" s="31"/>
      <c r="EMH220" s="19"/>
      <c r="EMI220" s="67"/>
      <c r="EMJ220" s="67"/>
      <c r="EMK220" s="31"/>
      <c r="EML220" s="19"/>
      <c r="EMM220" s="67"/>
      <c r="EMN220" s="67"/>
      <c r="EMO220" s="31"/>
      <c r="EMP220" s="19"/>
      <c r="EMQ220" s="67"/>
      <c r="EMR220" s="67"/>
      <c r="EMS220" s="31"/>
      <c r="EMT220" s="19"/>
      <c r="EMU220" s="67"/>
      <c r="EMV220" s="67"/>
      <c r="EMW220" s="31"/>
      <c r="EMX220" s="19"/>
      <c r="EMY220" s="67"/>
      <c r="EMZ220" s="67"/>
      <c r="ENA220" s="31"/>
      <c r="ENB220" s="19"/>
      <c r="ENC220" s="67"/>
      <c r="END220" s="67"/>
      <c r="ENE220" s="31"/>
      <c r="ENF220" s="19"/>
      <c r="ENG220" s="67"/>
      <c r="ENH220" s="67"/>
      <c r="ENI220" s="31"/>
      <c r="ENJ220" s="19"/>
      <c r="ENK220" s="67"/>
      <c r="ENL220" s="67"/>
      <c r="ENM220" s="31"/>
      <c r="ENN220" s="19"/>
      <c r="ENO220" s="67"/>
      <c r="ENP220" s="67"/>
      <c r="ENQ220" s="31"/>
      <c r="ENR220" s="19"/>
      <c r="ENS220" s="67"/>
      <c r="ENT220" s="67"/>
      <c r="ENU220" s="31"/>
      <c r="ENV220" s="19"/>
      <c r="ENW220" s="67"/>
      <c r="ENX220" s="67"/>
      <c r="ENY220" s="31"/>
      <c r="ENZ220" s="19"/>
      <c r="EOA220" s="67"/>
      <c r="EOB220" s="67"/>
      <c r="EOC220" s="31"/>
      <c r="EOD220" s="19"/>
      <c r="EOE220" s="67"/>
      <c r="EOF220" s="67"/>
      <c r="EOG220" s="31"/>
      <c r="EOH220" s="19"/>
      <c r="EOI220" s="67"/>
      <c r="EOJ220" s="67"/>
      <c r="EOK220" s="31"/>
      <c r="EOL220" s="19"/>
      <c r="EOM220" s="67"/>
      <c r="EON220" s="67"/>
      <c r="EOO220" s="31"/>
      <c r="EOP220" s="19"/>
      <c r="EOQ220" s="67"/>
      <c r="EOR220" s="67"/>
      <c r="EOS220" s="31"/>
      <c r="EOT220" s="19"/>
      <c r="EOU220" s="67"/>
      <c r="EOV220" s="67"/>
      <c r="EOW220" s="31"/>
      <c r="EOX220" s="19"/>
      <c r="EOY220" s="67"/>
      <c r="EOZ220" s="67"/>
      <c r="EPA220" s="31"/>
      <c r="EPB220" s="19"/>
      <c r="EPC220" s="67"/>
      <c r="EPD220" s="67"/>
      <c r="EPE220" s="31"/>
      <c r="EPF220" s="19"/>
      <c r="EPG220" s="67"/>
      <c r="EPH220" s="67"/>
      <c r="EPI220" s="31"/>
      <c r="EPJ220" s="19"/>
      <c r="EPK220" s="67"/>
      <c r="EPL220" s="67"/>
      <c r="EPM220" s="31"/>
      <c r="EPN220" s="19"/>
      <c r="EPO220" s="67"/>
      <c r="EPP220" s="67"/>
      <c r="EPQ220" s="31"/>
      <c r="EPR220" s="19"/>
      <c r="EPS220" s="67"/>
      <c r="EPT220" s="67"/>
      <c r="EPU220" s="31"/>
      <c r="EPV220" s="19"/>
      <c r="EPW220" s="67"/>
      <c r="EPX220" s="67"/>
      <c r="EPY220" s="31"/>
      <c r="EPZ220" s="19"/>
      <c r="EQA220" s="67"/>
      <c r="EQB220" s="67"/>
      <c r="EQC220" s="31"/>
      <c r="EQD220" s="19"/>
      <c r="EQE220" s="67"/>
      <c r="EQF220" s="67"/>
      <c r="EQG220" s="31"/>
      <c r="EQH220" s="19"/>
      <c r="EQI220" s="67"/>
      <c r="EQJ220" s="67"/>
      <c r="EQK220" s="31"/>
      <c r="EQL220" s="19"/>
      <c r="EQM220" s="67"/>
      <c r="EQN220" s="67"/>
      <c r="EQO220" s="31"/>
      <c r="EQP220" s="19"/>
      <c r="EQQ220" s="67"/>
      <c r="EQR220" s="67"/>
      <c r="EQS220" s="31"/>
      <c r="EQT220" s="19"/>
      <c r="EQU220" s="67"/>
      <c r="EQV220" s="67"/>
      <c r="EQW220" s="31"/>
      <c r="EQX220" s="19"/>
      <c r="EQY220" s="67"/>
      <c r="EQZ220" s="67"/>
      <c r="ERA220" s="31"/>
      <c r="ERB220" s="19"/>
      <c r="ERC220" s="67"/>
      <c r="ERD220" s="67"/>
      <c r="ERE220" s="31"/>
      <c r="ERF220" s="19"/>
      <c r="ERG220" s="67"/>
      <c r="ERH220" s="67"/>
      <c r="ERI220" s="31"/>
      <c r="ERJ220" s="19"/>
      <c r="ERK220" s="67"/>
      <c r="ERL220" s="67"/>
      <c r="ERM220" s="31"/>
      <c r="ERN220" s="19"/>
      <c r="ERO220" s="67"/>
      <c r="ERP220" s="67"/>
      <c r="ERQ220" s="31"/>
      <c r="ERR220" s="19"/>
      <c r="ERS220" s="67"/>
      <c r="ERT220" s="67"/>
      <c r="ERU220" s="31"/>
      <c r="ERV220" s="19"/>
      <c r="ERW220" s="67"/>
      <c r="ERX220" s="67"/>
      <c r="ERY220" s="31"/>
      <c r="ERZ220" s="19"/>
      <c r="ESA220" s="67"/>
      <c r="ESB220" s="67"/>
      <c r="ESC220" s="31"/>
      <c r="ESD220" s="19"/>
      <c r="ESE220" s="67"/>
      <c r="ESF220" s="67"/>
      <c r="ESG220" s="31"/>
      <c r="ESH220" s="19"/>
      <c r="ESI220" s="67"/>
      <c r="ESJ220" s="67"/>
      <c r="ESK220" s="31"/>
      <c r="ESL220" s="19"/>
      <c r="ESM220" s="67"/>
      <c r="ESN220" s="67"/>
      <c r="ESO220" s="31"/>
      <c r="ESP220" s="19"/>
      <c r="ESQ220" s="67"/>
      <c r="ESR220" s="67"/>
      <c r="ESS220" s="31"/>
      <c r="EST220" s="19"/>
      <c r="ESU220" s="67"/>
      <c r="ESV220" s="67"/>
      <c r="ESW220" s="31"/>
      <c r="ESX220" s="19"/>
      <c r="ESY220" s="67"/>
      <c r="ESZ220" s="67"/>
      <c r="ETA220" s="31"/>
      <c r="ETB220" s="19"/>
      <c r="ETC220" s="67"/>
      <c r="ETD220" s="67"/>
      <c r="ETE220" s="31"/>
      <c r="ETF220" s="19"/>
      <c r="ETG220" s="67"/>
      <c r="ETH220" s="67"/>
      <c r="ETI220" s="31"/>
      <c r="ETJ220" s="19"/>
      <c r="ETK220" s="67"/>
      <c r="ETL220" s="67"/>
      <c r="ETM220" s="31"/>
      <c r="ETN220" s="19"/>
      <c r="ETO220" s="67"/>
      <c r="ETP220" s="67"/>
      <c r="ETQ220" s="31"/>
      <c r="ETR220" s="19"/>
      <c r="ETS220" s="67"/>
      <c r="ETT220" s="67"/>
      <c r="ETU220" s="31"/>
      <c r="ETV220" s="19"/>
      <c r="ETW220" s="67"/>
      <c r="ETX220" s="67"/>
      <c r="ETY220" s="31"/>
      <c r="ETZ220" s="19"/>
      <c r="EUA220" s="67"/>
      <c r="EUB220" s="67"/>
      <c r="EUC220" s="31"/>
      <c r="EUD220" s="19"/>
      <c r="EUE220" s="67"/>
      <c r="EUF220" s="67"/>
      <c r="EUG220" s="31"/>
      <c r="EUH220" s="19"/>
      <c r="EUI220" s="67"/>
      <c r="EUJ220" s="67"/>
      <c r="EUK220" s="31"/>
      <c r="EUL220" s="19"/>
      <c r="EUM220" s="67"/>
      <c r="EUN220" s="67"/>
      <c r="EUO220" s="31"/>
      <c r="EUP220" s="19"/>
      <c r="EUQ220" s="67"/>
      <c r="EUR220" s="67"/>
      <c r="EUS220" s="31"/>
      <c r="EUT220" s="19"/>
      <c r="EUU220" s="67"/>
      <c r="EUV220" s="67"/>
      <c r="EUW220" s="31"/>
      <c r="EUX220" s="19"/>
      <c r="EUY220" s="67"/>
      <c r="EUZ220" s="67"/>
      <c r="EVA220" s="31"/>
      <c r="EVB220" s="19"/>
      <c r="EVC220" s="67"/>
      <c r="EVD220" s="67"/>
      <c r="EVE220" s="31"/>
      <c r="EVF220" s="19"/>
      <c r="EVG220" s="67"/>
      <c r="EVH220" s="67"/>
      <c r="EVI220" s="31"/>
      <c r="EVJ220" s="19"/>
      <c r="EVK220" s="67"/>
      <c r="EVL220" s="67"/>
      <c r="EVM220" s="31"/>
      <c r="EVN220" s="19"/>
      <c r="EVO220" s="67"/>
      <c r="EVP220" s="67"/>
      <c r="EVQ220" s="31"/>
      <c r="EVR220" s="19"/>
      <c r="EVS220" s="67"/>
      <c r="EVT220" s="67"/>
      <c r="EVU220" s="31"/>
      <c r="EVV220" s="19"/>
      <c r="EVW220" s="67"/>
      <c r="EVX220" s="67"/>
      <c r="EVY220" s="31"/>
      <c r="EVZ220" s="19"/>
      <c r="EWA220" s="67"/>
      <c r="EWB220" s="67"/>
      <c r="EWC220" s="31"/>
      <c r="EWD220" s="19"/>
      <c r="EWE220" s="67"/>
      <c r="EWF220" s="67"/>
      <c r="EWG220" s="31"/>
      <c r="EWH220" s="19"/>
      <c r="EWI220" s="67"/>
      <c r="EWJ220" s="67"/>
      <c r="EWK220" s="31"/>
      <c r="EWL220" s="19"/>
      <c r="EWM220" s="67"/>
      <c r="EWN220" s="67"/>
      <c r="EWO220" s="31"/>
      <c r="EWP220" s="19"/>
      <c r="EWQ220" s="67"/>
      <c r="EWR220" s="67"/>
      <c r="EWS220" s="31"/>
      <c r="EWT220" s="19"/>
      <c r="EWU220" s="67"/>
      <c r="EWV220" s="67"/>
      <c r="EWW220" s="31"/>
      <c r="EWX220" s="19"/>
      <c r="EWY220" s="67"/>
      <c r="EWZ220" s="67"/>
      <c r="EXA220" s="31"/>
      <c r="EXB220" s="19"/>
      <c r="EXC220" s="67"/>
      <c r="EXD220" s="67"/>
      <c r="EXE220" s="31"/>
      <c r="EXF220" s="19"/>
      <c r="EXG220" s="67"/>
      <c r="EXH220" s="67"/>
      <c r="EXI220" s="31"/>
      <c r="EXJ220" s="19"/>
      <c r="EXK220" s="67"/>
      <c r="EXL220" s="67"/>
      <c r="EXM220" s="31"/>
      <c r="EXN220" s="19"/>
      <c r="EXO220" s="67"/>
      <c r="EXP220" s="67"/>
      <c r="EXQ220" s="31"/>
      <c r="EXR220" s="19"/>
      <c r="EXS220" s="67"/>
      <c r="EXT220" s="67"/>
      <c r="EXU220" s="31"/>
      <c r="EXV220" s="19"/>
      <c r="EXW220" s="67"/>
      <c r="EXX220" s="67"/>
      <c r="EXY220" s="31"/>
      <c r="EXZ220" s="19"/>
      <c r="EYA220" s="67"/>
      <c r="EYB220" s="67"/>
      <c r="EYC220" s="31"/>
      <c r="EYD220" s="19"/>
      <c r="EYE220" s="67"/>
      <c r="EYF220" s="67"/>
      <c r="EYG220" s="31"/>
      <c r="EYH220" s="19"/>
      <c r="EYI220" s="67"/>
      <c r="EYJ220" s="67"/>
      <c r="EYK220" s="31"/>
      <c r="EYL220" s="19"/>
      <c r="EYM220" s="67"/>
      <c r="EYN220" s="67"/>
      <c r="EYO220" s="31"/>
      <c r="EYP220" s="19"/>
      <c r="EYQ220" s="67"/>
      <c r="EYR220" s="67"/>
      <c r="EYS220" s="31"/>
      <c r="EYT220" s="19"/>
      <c r="EYU220" s="67"/>
      <c r="EYV220" s="67"/>
      <c r="EYW220" s="31"/>
      <c r="EYX220" s="19"/>
      <c r="EYY220" s="67"/>
      <c r="EYZ220" s="67"/>
      <c r="EZA220" s="31"/>
      <c r="EZB220" s="19"/>
      <c r="EZC220" s="67"/>
      <c r="EZD220" s="67"/>
      <c r="EZE220" s="31"/>
      <c r="EZF220" s="19"/>
      <c r="EZG220" s="67"/>
      <c r="EZH220" s="67"/>
      <c r="EZI220" s="31"/>
      <c r="EZJ220" s="19"/>
      <c r="EZK220" s="67"/>
      <c r="EZL220" s="67"/>
      <c r="EZM220" s="31"/>
      <c r="EZN220" s="19"/>
      <c r="EZO220" s="67"/>
      <c r="EZP220" s="67"/>
      <c r="EZQ220" s="31"/>
      <c r="EZR220" s="19"/>
      <c r="EZS220" s="67"/>
      <c r="EZT220" s="67"/>
      <c r="EZU220" s="31"/>
      <c r="EZV220" s="19"/>
      <c r="EZW220" s="67"/>
      <c r="EZX220" s="67"/>
      <c r="EZY220" s="31"/>
      <c r="EZZ220" s="19"/>
      <c r="FAA220" s="67"/>
      <c r="FAB220" s="67"/>
      <c r="FAC220" s="31"/>
      <c r="FAD220" s="19"/>
      <c r="FAE220" s="67"/>
      <c r="FAF220" s="67"/>
      <c r="FAG220" s="31"/>
      <c r="FAH220" s="19"/>
      <c r="FAI220" s="67"/>
      <c r="FAJ220" s="67"/>
      <c r="FAK220" s="31"/>
      <c r="FAL220" s="19"/>
      <c r="FAM220" s="67"/>
      <c r="FAN220" s="67"/>
      <c r="FAO220" s="31"/>
      <c r="FAP220" s="19"/>
      <c r="FAQ220" s="67"/>
      <c r="FAR220" s="67"/>
      <c r="FAS220" s="31"/>
      <c r="FAT220" s="19"/>
      <c r="FAU220" s="67"/>
      <c r="FAV220" s="67"/>
      <c r="FAW220" s="31"/>
      <c r="FAX220" s="19"/>
      <c r="FAY220" s="67"/>
      <c r="FAZ220" s="67"/>
      <c r="FBA220" s="31"/>
      <c r="FBB220" s="19"/>
      <c r="FBC220" s="67"/>
      <c r="FBD220" s="67"/>
      <c r="FBE220" s="31"/>
      <c r="FBF220" s="19"/>
      <c r="FBG220" s="67"/>
      <c r="FBH220" s="67"/>
      <c r="FBI220" s="31"/>
      <c r="FBJ220" s="19"/>
      <c r="FBK220" s="67"/>
      <c r="FBL220" s="67"/>
      <c r="FBM220" s="31"/>
      <c r="FBN220" s="19"/>
      <c r="FBO220" s="67"/>
      <c r="FBP220" s="67"/>
      <c r="FBQ220" s="31"/>
      <c r="FBR220" s="19"/>
      <c r="FBS220" s="67"/>
      <c r="FBT220" s="67"/>
      <c r="FBU220" s="31"/>
      <c r="FBV220" s="19"/>
      <c r="FBW220" s="67"/>
      <c r="FBX220" s="67"/>
      <c r="FBY220" s="31"/>
      <c r="FBZ220" s="19"/>
      <c r="FCA220" s="67"/>
      <c r="FCB220" s="67"/>
      <c r="FCC220" s="31"/>
      <c r="FCD220" s="19"/>
      <c r="FCE220" s="67"/>
      <c r="FCF220" s="67"/>
      <c r="FCG220" s="31"/>
      <c r="FCH220" s="19"/>
      <c r="FCI220" s="67"/>
      <c r="FCJ220" s="67"/>
      <c r="FCK220" s="31"/>
      <c r="FCL220" s="19"/>
      <c r="FCM220" s="67"/>
      <c r="FCN220" s="67"/>
      <c r="FCO220" s="31"/>
      <c r="FCP220" s="19"/>
      <c r="FCQ220" s="67"/>
      <c r="FCR220" s="67"/>
      <c r="FCS220" s="31"/>
      <c r="FCT220" s="19"/>
      <c r="FCU220" s="67"/>
      <c r="FCV220" s="67"/>
      <c r="FCW220" s="31"/>
      <c r="FCX220" s="19"/>
      <c r="FCY220" s="67"/>
      <c r="FCZ220" s="67"/>
      <c r="FDA220" s="31"/>
      <c r="FDB220" s="19"/>
      <c r="FDC220" s="67"/>
      <c r="FDD220" s="67"/>
      <c r="FDE220" s="31"/>
      <c r="FDF220" s="19"/>
      <c r="FDG220" s="67"/>
      <c r="FDH220" s="67"/>
      <c r="FDI220" s="31"/>
      <c r="FDJ220" s="19"/>
      <c r="FDK220" s="67"/>
      <c r="FDL220" s="67"/>
      <c r="FDM220" s="31"/>
      <c r="FDN220" s="19"/>
      <c r="FDO220" s="67"/>
      <c r="FDP220" s="67"/>
      <c r="FDQ220" s="31"/>
      <c r="FDR220" s="19"/>
      <c r="FDS220" s="67"/>
      <c r="FDT220" s="67"/>
      <c r="FDU220" s="31"/>
      <c r="FDV220" s="19"/>
      <c r="FDW220" s="67"/>
      <c r="FDX220" s="67"/>
      <c r="FDY220" s="31"/>
      <c r="FDZ220" s="19"/>
      <c r="FEA220" s="67"/>
      <c r="FEB220" s="67"/>
      <c r="FEC220" s="31"/>
      <c r="FED220" s="19"/>
      <c r="FEE220" s="67"/>
      <c r="FEF220" s="67"/>
      <c r="FEG220" s="31"/>
      <c r="FEH220" s="19"/>
      <c r="FEI220" s="67"/>
      <c r="FEJ220" s="67"/>
      <c r="FEK220" s="31"/>
      <c r="FEL220" s="19"/>
      <c r="FEM220" s="67"/>
      <c r="FEN220" s="67"/>
      <c r="FEO220" s="31"/>
      <c r="FEP220" s="19"/>
      <c r="FEQ220" s="67"/>
      <c r="FER220" s="67"/>
      <c r="FES220" s="31"/>
      <c r="FET220" s="19"/>
      <c r="FEU220" s="67"/>
      <c r="FEV220" s="67"/>
      <c r="FEW220" s="31"/>
      <c r="FEX220" s="19"/>
      <c r="FEY220" s="67"/>
      <c r="FEZ220" s="67"/>
      <c r="FFA220" s="31"/>
      <c r="FFB220" s="19"/>
      <c r="FFC220" s="67"/>
      <c r="FFD220" s="67"/>
      <c r="FFE220" s="31"/>
      <c r="FFF220" s="19"/>
      <c r="FFG220" s="67"/>
      <c r="FFH220" s="67"/>
      <c r="FFI220" s="31"/>
      <c r="FFJ220" s="19"/>
      <c r="FFK220" s="67"/>
      <c r="FFL220" s="67"/>
      <c r="FFM220" s="31"/>
      <c r="FFN220" s="19"/>
      <c r="FFO220" s="67"/>
      <c r="FFP220" s="67"/>
      <c r="FFQ220" s="31"/>
      <c r="FFR220" s="19"/>
      <c r="FFS220" s="67"/>
      <c r="FFT220" s="67"/>
      <c r="FFU220" s="31"/>
      <c r="FFV220" s="19"/>
      <c r="FFW220" s="67"/>
      <c r="FFX220" s="67"/>
      <c r="FFY220" s="31"/>
      <c r="FFZ220" s="19"/>
      <c r="FGA220" s="67"/>
      <c r="FGB220" s="67"/>
      <c r="FGC220" s="31"/>
      <c r="FGD220" s="19"/>
      <c r="FGE220" s="67"/>
      <c r="FGF220" s="67"/>
      <c r="FGG220" s="31"/>
      <c r="FGH220" s="19"/>
      <c r="FGI220" s="67"/>
      <c r="FGJ220" s="67"/>
      <c r="FGK220" s="31"/>
      <c r="FGL220" s="19"/>
      <c r="FGM220" s="67"/>
      <c r="FGN220" s="67"/>
      <c r="FGO220" s="31"/>
      <c r="FGP220" s="19"/>
      <c r="FGQ220" s="67"/>
      <c r="FGR220" s="67"/>
      <c r="FGS220" s="31"/>
      <c r="FGT220" s="19"/>
      <c r="FGU220" s="67"/>
      <c r="FGV220" s="67"/>
      <c r="FGW220" s="31"/>
      <c r="FGX220" s="19"/>
      <c r="FGY220" s="67"/>
      <c r="FGZ220" s="67"/>
      <c r="FHA220" s="31"/>
      <c r="FHB220" s="19"/>
      <c r="FHC220" s="67"/>
      <c r="FHD220" s="67"/>
      <c r="FHE220" s="31"/>
      <c r="FHF220" s="19"/>
      <c r="FHG220" s="67"/>
      <c r="FHH220" s="67"/>
      <c r="FHI220" s="31"/>
      <c r="FHJ220" s="19"/>
      <c r="FHK220" s="67"/>
      <c r="FHL220" s="67"/>
      <c r="FHM220" s="31"/>
      <c r="FHN220" s="19"/>
      <c r="FHO220" s="67"/>
      <c r="FHP220" s="67"/>
      <c r="FHQ220" s="31"/>
      <c r="FHR220" s="19"/>
      <c r="FHS220" s="67"/>
      <c r="FHT220" s="67"/>
      <c r="FHU220" s="31"/>
      <c r="FHV220" s="19"/>
      <c r="FHW220" s="67"/>
      <c r="FHX220" s="67"/>
      <c r="FHY220" s="31"/>
      <c r="FHZ220" s="19"/>
      <c r="FIA220" s="67"/>
      <c r="FIB220" s="67"/>
      <c r="FIC220" s="31"/>
      <c r="FID220" s="19"/>
      <c r="FIE220" s="67"/>
      <c r="FIF220" s="67"/>
      <c r="FIG220" s="31"/>
      <c r="FIH220" s="19"/>
      <c r="FII220" s="67"/>
      <c r="FIJ220" s="67"/>
      <c r="FIK220" s="31"/>
      <c r="FIL220" s="19"/>
      <c r="FIM220" s="67"/>
      <c r="FIN220" s="67"/>
      <c r="FIO220" s="31"/>
      <c r="FIP220" s="19"/>
      <c r="FIQ220" s="67"/>
      <c r="FIR220" s="67"/>
      <c r="FIS220" s="31"/>
      <c r="FIT220" s="19"/>
      <c r="FIU220" s="67"/>
      <c r="FIV220" s="67"/>
      <c r="FIW220" s="31"/>
      <c r="FIX220" s="19"/>
      <c r="FIY220" s="67"/>
      <c r="FIZ220" s="67"/>
      <c r="FJA220" s="31"/>
      <c r="FJB220" s="19"/>
      <c r="FJC220" s="67"/>
      <c r="FJD220" s="67"/>
      <c r="FJE220" s="31"/>
      <c r="FJF220" s="19"/>
      <c r="FJG220" s="67"/>
      <c r="FJH220" s="67"/>
      <c r="FJI220" s="31"/>
      <c r="FJJ220" s="19"/>
      <c r="FJK220" s="67"/>
      <c r="FJL220" s="67"/>
      <c r="FJM220" s="31"/>
      <c r="FJN220" s="19"/>
      <c r="FJO220" s="67"/>
      <c r="FJP220" s="67"/>
      <c r="FJQ220" s="31"/>
      <c r="FJR220" s="19"/>
      <c r="FJS220" s="67"/>
      <c r="FJT220" s="67"/>
      <c r="FJU220" s="31"/>
      <c r="FJV220" s="19"/>
      <c r="FJW220" s="67"/>
      <c r="FJX220" s="67"/>
      <c r="FJY220" s="31"/>
      <c r="FJZ220" s="19"/>
      <c r="FKA220" s="67"/>
      <c r="FKB220" s="67"/>
      <c r="FKC220" s="31"/>
      <c r="FKD220" s="19"/>
      <c r="FKE220" s="67"/>
      <c r="FKF220" s="67"/>
      <c r="FKG220" s="31"/>
      <c r="FKH220" s="19"/>
      <c r="FKI220" s="67"/>
      <c r="FKJ220" s="67"/>
      <c r="FKK220" s="31"/>
      <c r="FKL220" s="19"/>
      <c r="FKM220" s="67"/>
      <c r="FKN220" s="67"/>
      <c r="FKO220" s="31"/>
      <c r="FKP220" s="19"/>
      <c r="FKQ220" s="67"/>
      <c r="FKR220" s="67"/>
      <c r="FKS220" s="31"/>
      <c r="FKT220" s="19"/>
      <c r="FKU220" s="67"/>
      <c r="FKV220" s="67"/>
      <c r="FKW220" s="31"/>
      <c r="FKX220" s="19"/>
      <c r="FKY220" s="67"/>
      <c r="FKZ220" s="67"/>
      <c r="FLA220" s="31"/>
      <c r="FLB220" s="19"/>
      <c r="FLC220" s="67"/>
      <c r="FLD220" s="67"/>
      <c r="FLE220" s="31"/>
      <c r="FLF220" s="19"/>
      <c r="FLG220" s="67"/>
      <c r="FLH220" s="67"/>
      <c r="FLI220" s="31"/>
      <c r="FLJ220" s="19"/>
      <c r="FLK220" s="67"/>
      <c r="FLL220" s="67"/>
      <c r="FLM220" s="31"/>
      <c r="FLN220" s="19"/>
      <c r="FLO220" s="67"/>
      <c r="FLP220" s="67"/>
      <c r="FLQ220" s="31"/>
      <c r="FLR220" s="19"/>
      <c r="FLS220" s="67"/>
      <c r="FLT220" s="67"/>
      <c r="FLU220" s="31"/>
      <c r="FLV220" s="19"/>
      <c r="FLW220" s="67"/>
      <c r="FLX220" s="67"/>
      <c r="FLY220" s="31"/>
      <c r="FLZ220" s="19"/>
      <c r="FMA220" s="67"/>
      <c r="FMB220" s="67"/>
      <c r="FMC220" s="31"/>
      <c r="FMD220" s="19"/>
      <c r="FME220" s="67"/>
      <c r="FMF220" s="67"/>
      <c r="FMG220" s="31"/>
      <c r="FMH220" s="19"/>
      <c r="FMI220" s="67"/>
      <c r="FMJ220" s="67"/>
      <c r="FMK220" s="31"/>
      <c r="FML220" s="19"/>
      <c r="FMM220" s="67"/>
      <c r="FMN220" s="67"/>
      <c r="FMO220" s="31"/>
      <c r="FMP220" s="19"/>
      <c r="FMQ220" s="67"/>
      <c r="FMR220" s="67"/>
      <c r="FMS220" s="31"/>
      <c r="FMT220" s="19"/>
      <c r="FMU220" s="67"/>
      <c r="FMV220" s="67"/>
      <c r="FMW220" s="31"/>
      <c r="FMX220" s="19"/>
      <c r="FMY220" s="67"/>
      <c r="FMZ220" s="67"/>
      <c r="FNA220" s="31"/>
      <c r="FNB220" s="19"/>
      <c r="FNC220" s="67"/>
      <c r="FND220" s="67"/>
      <c r="FNE220" s="31"/>
      <c r="FNF220" s="19"/>
      <c r="FNG220" s="67"/>
      <c r="FNH220" s="67"/>
      <c r="FNI220" s="31"/>
      <c r="FNJ220" s="19"/>
      <c r="FNK220" s="67"/>
      <c r="FNL220" s="67"/>
      <c r="FNM220" s="31"/>
      <c r="FNN220" s="19"/>
      <c r="FNO220" s="67"/>
      <c r="FNP220" s="67"/>
      <c r="FNQ220" s="31"/>
      <c r="FNR220" s="19"/>
      <c r="FNS220" s="67"/>
      <c r="FNT220" s="67"/>
      <c r="FNU220" s="31"/>
      <c r="FNV220" s="19"/>
      <c r="FNW220" s="67"/>
      <c r="FNX220" s="67"/>
      <c r="FNY220" s="31"/>
      <c r="FNZ220" s="19"/>
      <c r="FOA220" s="67"/>
      <c r="FOB220" s="67"/>
      <c r="FOC220" s="31"/>
      <c r="FOD220" s="19"/>
      <c r="FOE220" s="67"/>
      <c r="FOF220" s="67"/>
      <c r="FOG220" s="31"/>
      <c r="FOH220" s="19"/>
      <c r="FOI220" s="67"/>
      <c r="FOJ220" s="67"/>
      <c r="FOK220" s="31"/>
      <c r="FOL220" s="19"/>
      <c r="FOM220" s="67"/>
      <c r="FON220" s="67"/>
      <c r="FOO220" s="31"/>
      <c r="FOP220" s="19"/>
      <c r="FOQ220" s="67"/>
      <c r="FOR220" s="67"/>
      <c r="FOS220" s="31"/>
      <c r="FOT220" s="19"/>
      <c r="FOU220" s="67"/>
      <c r="FOV220" s="67"/>
      <c r="FOW220" s="31"/>
      <c r="FOX220" s="19"/>
      <c r="FOY220" s="67"/>
      <c r="FOZ220" s="67"/>
      <c r="FPA220" s="31"/>
      <c r="FPB220" s="19"/>
      <c r="FPC220" s="67"/>
      <c r="FPD220" s="67"/>
      <c r="FPE220" s="31"/>
      <c r="FPF220" s="19"/>
      <c r="FPG220" s="67"/>
      <c r="FPH220" s="67"/>
      <c r="FPI220" s="31"/>
      <c r="FPJ220" s="19"/>
      <c r="FPK220" s="67"/>
      <c r="FPL220" s="67"/>
      <c r="FPM220" s="31"/>
      <c r="FPN220" s="19"/>
      <c r="FPO220" s="67"/>
      <c r="FPP220" s="67"/>
      <c r="FPQ220" s="31"/>
      <c r="FPR220" s="19"/>
      <c r="FPS220" s="67"/>
      <c r="FPT220" s="67"/>
      <c r="FPU220" s="31"/>
      <c r="FPV220" s="19"/>
      <c r="FPW220" s="67"/>
      <c r="FPX220" s="67"/>
      <c r="FPY220" s="31"/>
      <c r="FPZ220" s="19"/>
      <c r="FQA220" s="67"/>
      <c r="FQB220" s="67"/>
      <c r="FQC220" s="31"/>
      <c r="FQD220" s="19"/>
      <c r="FQE220" s="67"/>
      <c r="FQF220" s="67"/>
      <c r="FQG220" s="31"/>
      <c r="FQH220" s="19"/>
      <c r="FQI220" s="67"/>
      <c r="FQJ220" s="67"/>
      <c r="FQK220" s="31"/>
      <c r="FQL220" s="19"/>
      <c r="FQM220" s="67"/>
      <c r="FQN220" s="67"/>
      <c r="FQO220" s="31"/>
      <c r="FQP220" s="19"/>
      <c r="FQQ220" s="67"/>
      <c r="FQR220" s="67"/>
      <c r="FQS220" s="31"/>
      <c r="FQT220" s="19"/>
      <c r="FQU220" s="67"/>
      <c r="FQV220" s="67"/>
      <c r="FQW220" s="31"/>
      <c r="FQX220" s="19"/>
      <c r="FQY220" s="67"/>
      <c r="FQZ220" s="67"/>
      <c r="FRA220" s="31"/>
      <c r="FRB220" s="19"/>
      <c r="FRC220" s="67"/>
      <c r="FRD220" s="67"/>
      <c r="FRE220" s="31"/>
      <c r="FRF220" s="19"/>
      <c r="FRG220" s="67"/>
      <c r="FRH220" s="67"/>
      <c r="FRI220" s="31"/>
      <c r="FRJ220" s="19"/>
      <c r="FRK220" s="67"/>
      <c r="FRL220" s="67"/>
      <c r="FRM220" s="31"/>
      <c r="FRN220" s="19"/>
      <c r="FRO220" s="67"/>
      <c r="FRP220" s="67"/>
      <c r="FRQ220" s="31"/>
      <c r="FRR220" s="19"/>
      <c r="FRS220" s="67"/>
      <c r="FRT220" s="67"/>
      <c r="FRU220" s="31"/>
      <c r="FRV220" s="19"/>
      <c r="FRW220" s="67"/>
      <c r="FRX220" s="67"/>
      <c r="FRY220" s="31"/>
      <c r="FRZ220" s="19"/>
      <c r="FSA220" s="67"/>
      <c r="FSB220" s="67"/>
      <c r="FSC220" s="31"/>
      <c r="FSD220" s="19"/>
      <c r="FSE220" s="67"/>
      <c r="FSF220" s="67"/>
      <c r="FSG220" s="31"/>
      <c r="FSH220" s="19"/>
      <c r="FSI220" s="67"/>
      <c r="FSJ220" s="67"/>
      <c r="FSK220" s="31"/>
      <c r="FSL220" s="19"/>
      <c r="FSM220" s="67"/>
      <c r="FSN220" s="67"/>
      <c r="FSO220" s="31"/>
      <c r="FSP220" s="19"/>
      <c r="FSQ220" s="67"/>
      <c r="FSR220" s="67"/>
      <c r="FSS220" s="31"/>
      <c r="FST220" s="19"/>
      <c r="FSU220" s="67"/>
      <c r="FSV220" s="67"/>
      <c r="FSW220" s="31"/>
      <c r="FSX220" s="19"/>
      <c r="FSY220" s="67"/>
      <c r="FSZ220" s="67"/>
      <c r="FTA220" s="31"/>
      <c r="FTB220" s="19"/>
      <c r="FTC220" s="67"/>
      <c r="FTD220" s="67"/>
      <c r="FTE220" s="31"/>
      <c r="FTF220" s="19"/>
      <c r="FTG220" s="67"/>
      <c r="FTH220" s="67"/>
      <c r="FTI220" s="31"/>
      <c r="FTJ220" s="19"/>
      <c r="FTK220" s="67"/>
      <c r="FTL220" s="67"/>
      <c r="FTM220" s="31"/>
      <c r="FTN220" s="19"/>
      <c r="FTO220" s="67"/>
      <c r="FTP220" s="67"/>
      <c r="FTQ220" s="31"/>
      <c r="FTR220" s="19"/>
      <c r="FTS220" s="67"/>
      <c r="FTT220" s="67"/>
      <c r="FTU220" s="31"/>
      <c r="FTV220" s="19"/>
      <c r="FTW220" s="67"/>
      <c r="FTX220" s="67"/>
      <c r="FTY220" s="31"/>
      <c r="FTZ220" s="19"/>
      <c r="FUA220" s="67"/>
      <c r="FUB220" s="67"/>
      <c r="FUC220" s="31"/>
      <c r="FUD220" s="19"/>
      <c r="FUE220" s="67"/>
      <c r="FUF220" s="67"/>
      <c r="FUG220" s="31"/>
      <c r="FUH220" s="19"/>
      <c r="FUI220" s="67"/>
      <c r="FUJ220" s="67"/>
      <c r="FUK220" s="31"/>
      <c r="FUL220" s="19"/>
      <c r="FUM220" s="67"/>
      <c r="FUN220" s="67"/>
      <c r="FUO220" s="31"/>
      <c r="FUP220" s="19"/>
      <c r="FUQ220" s="67"/>
      <c r="FUR220" s="67"/>
      <c r="FUS220" s="31"/>
      <c r="FUT220" s="19"/>
      <c r="FUU220" s="67"/>
      <c r="FUV220" s="67"/>
      <c r="FUW220" s="31"/>
      <c r="FUX220" s="19"/>
      <c r="FUY220" s="67"/>
      <c r="FUZ220" s="67"/>
      <c r="FVA220" s="31"/>
      <c r="FVB220" s="19"/>
      <c r="FVC220" s="67"/>
      <c r="FVD220" s="67"/>
      <c r="FVE220" s="31"/>
      <c r="FVF220" s="19"/>
      <c r="FVG220" s="67"/>
      <c r="FVH220" s="67"/>
      <c r="FVI220" s="31"/>
      <c r="FVJ220" s="19"/>
      <c r="FVK220" s="67"/>
      <c r="FVL220" s="67"/>
      <c r="FVM220" s="31"/>
      <c r="FVN220" s="19"/>
      <c r="FVO220" s="67"/>
      <c r="FVP220" s="67"/>
      <c r="FVQ220" s="31"/>
      <c r="FVR220" s="19"/>
      <c r="FVS220" s="67"/>
      <c r="FVT220" s="67"/>
      <c r="FVU220" s="31"/>
      <c r="FVV220" s="19"/>
      <c r="FVW220" s="67"/>
      <c r="FVX220" s="67"/>
      <c r="FVY220" s="31"/>
      <c r="FVZ220" s="19"/>
      <c r="FWA220" s="67"/>
      <c r="FWB220" s="67"/>
      <c r="FWC220" s="31"/>
      <c r="FWD220" s="19"/>
      <c r="FWE220" s="67"/>
      <c r="FWF220" s="67"/>
      <c r="FWG220" s="31"/>
      <c r="FWH220" s="19"/>
      <c r="FWI220" s="67"/>
      <c r="FWJ220" s="67"/>
      <c r="FWK220" s="31"/>
      <c r="FWL220" s="19"/>
      <c r="FWM220" s="67"/>
      <c r="FWN220" s="67"/>
      <c r="FWO220" s="31"/>
      <c r="FWP220" s="19"/>
      <c r="FWQ220" s="67"/>
      <c r="FWR220" s="67"/>
      <c r="FWS220" s="31"/>
      <c r="FWT220" s="19"/>
      <c r="FWU220" s="67"/>
      <c r="FWV220" s="67"/>
      <c r="FWW220" s="31"/>
      <c r="FWX220" s="19"/>
      <c r="FWY220" s="67"/>
      <c r="FWZ220" s="67"/>
      <c r="FXA220" s="31"/>
      <c r="FXB220" s="19"/>
      <c r="FXC220" s="67"/>
      <c r="FXD220" s="67"/>
      <c r="FXE220" s="31"/>
      <c r="FXF220" s="19"/>
      <c r="FXG220" s="67"/>
      <c r="FXH220" s="67"/>
      <c r="FXI220" s="31"/>
      <c r="FXJ220" s="19"/>
      <c r="FXK220" s="67"/>
      <c r="FXL220" s="67"/>
      <c r="FXM220" s="31"/>
      <c r="FXN220" s="19"/>
      <c r="FXO220" s="67"/>
      <c r="FXP220" s="67"/>
      <c r="FXQ220" s="31"/>
      <c r="FXR220" s="19"/>
      <c r="FXS220" s="67"/>
      <c r="FXT220" s="67"/>
      <c r="FXU220" s="31"/>
      <c r="FXV220" s="19"/>
      <c r="FXW220" s="67"/>
      <c r="FXX220" s="67"/>
      <c r="FXY220" s="31"/>
      <c r="FXZ220" s="19"/>
      <c r="FYA220" s="67"/>
      <c r="FYB220" s="67"/>
      <c r="FYC220" s="31"/>
      <c r="FYD220" s="19"/>
      <c r="FYE220" s="67"/>
      <c r="FYF220" s="67"/>
      <c r="FYG220" s="31"/>
      <c r="FYH220" s="19"/>
      <c r="FYI220" s="67"/>
      <c r="FYJ220" s="67"/>
      <c r="FYK220" s="31"/>
      <c r="FYL220" s="19"/>
      <c r="FYM220" s="67"/>
      <c r="FYN220" s="67"/>
      <c r="FYO220" s="31"/>
      <c r="FYP220" s="19"/>
      <c r="FYQ220" s="67"/>
      <c r="FYR220" s="67"/>
      <c r="FYS220" s="31"/>
      <c r="FYT220" s="19"/>
      <c r="FYU220" s="67"/>
      <c r="FYV220" s="67"/>
      <c r="FYW220" s="31"/>
      <c r="FYX220" s="19"/>
      <c r="FYY220" s="67"/>
      <c r="FYZ220" s="67"/>
      <c r="FZA220" s="31"/>
      <c r="FZB220" s="19"/>
      <c r="FZC220" s="67"/>
      <c r="FZD220" s="67"/>
      <c r="FZE220" s="31"/>
      <c r="FZF220" s="19"/>
      <c r="FZG220" s="67"/>
      <c r="FZH220" s="67"/>
      <c r="FZI220" s="31"/>
      <c r="FZJ220" s="19"/>
      <c r="FZK220" s="67"/>
      <c r="FZL220" s="67"/>
      <c r="FZM220" s="31"/>
      <c r="FZN220" s="19"/>
      <c r="FZO220" s="67"/>
      <c r="FZP220" s="67"/>
      <c r="FZQ220" s="31"/>
      <c r="FZR220" s="19"/>
      <c r="FZS220" s="67"/>
      <c r="FZT220" s="67"/>
      <c r="FZU220" s="31"/>
      <c r="FZV220" s="19"/>
      <c r="FZW220" s="67"/>
      <c r="FZX220" s="67"/>
      <c r="FZY220" s="31"/>
      <c r="FZZ220" s="19"/>
      <c r="GAA220" s="67"/>
      <c r="GAB220" s="67"/>
      <c r="GAC220" s="31"/>
      <c r="GAD220" s="19"/>
      <c r="GAE220" s="67"/>
      <c r="GAF220" s="67"/>
      <c r="GAG220" s="31"/>
      <c r="GAH220" s="19"/>
      <c r="GAI220" s="67"/>
      <c r="GAJ220" s="67"/>
      <c r="GAK220" s="31"/>
      <c r="GAL220" s="19"/>
      <c r="GAM220" s="67"/>
      <c r="GAN220" s="67"/>
      <c r="GAO220" s="31"/>
      <c r="GAP220" s="19"/>
      <c r="GAQ220" s="67"/>
      <c r="GAR220" s="67"/>
      <c r="GAS220" s="31"/>
      <c r="GAT220" s="19"/>
      <c r="GAU220" s="67"/>
      <c r="GAV220" s="67"/>
      <c r="GAW220" s="31"/>
      <c r="GAX220" s="19"/>
      <c r="GAY220" s="67"/>
      <c r="GAZ220" s="67"/>
      <c r="GBA220" s="31"/>
      <c r="GBB220" s="19"/>
      <c r="GBC220" s="67"/>
      <c r="GBD220" s="67"/>
      <c r="GBE220" s="31"/>
      <c r="GBF220" s="19"/>
      <c r="GBG220" s="67"/>
      <c r="GBH220" s="67"/>
      <c r="GBI220" s="31"/>
      <c r="GBJ220" s="19"/>
      <c r="GBK220" s="67"/>
      <c r="GBL220" s="67"/>
      <c r="GBM220" s="31"/>
      <c r="GBN220" s="19"/>
      <c r="GBO220" s="67"/>
      <c r="GBP220" s="67"/>
      <c r="GBQ220" s="31"/>
      <c r="GBR220" s="19"/>
      <c r="GBS220" s="67"/>
      <c r="GBT220" s="67"/>
      <c r="GBU220" s="31"/>
      <c r="GBV220" s="19"/>
      <c r="GBW220" s="67"/>
      <c r="GBX220" s="67"/>
      <c r="GBY220" s="31"/>
      <c r="GBZ220" s="19"/>
      <c r="GCA220" s="67"/>
      <c r="GCB220" s="67"/>
      <c r="GCC220" s="31"/>
      <c r="GCD220" s="19"/>
      <c r="GCE220" s="67"/>
      <c r="GCF220" s="67"/>
      <c r="GCG220" s="31"/>
      <c r="GCH220" s="19"/>
      <c r="GCI220" s="67"/>
      <c r="GCJ220" s="67"/>
      <c r="GCK220" s="31"/>
      <c r="GCL220" s="19"/>
      <c r="GCM220" s="67"/>
      <c r="GCN220" s="67"/>
      <c r="GCO220" s="31"/>
      <c r="GCP220" s="19"/>
      <c r="GCQ220" s="67"/>
      <c r="GCR220" s="67"/>
      <c r="GCS220" s="31"/>
      <c r="GCT220" s="19"/>
      <c r="GCU220" s="67"/>
      <c r="GCV220" s="67"/>
      <c r="GCW220" s="31"/>
      <c r="GCX220" s="19"/>
      <c r="GCY220" s="67"/>
      <c r="GCZ220" s="67"/>
      <c r="GDA220" s="31"/>
      <c r="GDB220" s="19"/>
      <c r="GDC220" s="67"/>
      <c r="GDD220" s="67"/>
      <c r="GDE220" s="31"/>
      <c r="GDF220" s="19"/>
      <c r="GDG220" s="67"/>
      <c r="GDH220" s="67"/>
      <c r="GDI220" s="31"/>
      <c r="GDJ220" s="19"/>
      <c r="GDK220" s="67"/>
      <c r="GDL220" s="67"/>
      <c r="GDM220" s="31"/>
      <c r="GDN220" s="19"/>
      <c r="GDO220" s="67"/>
      <c r="GDP220" s="67"/>
      <c r="GDQ220" s="31"/>
      <c r="GDR220" s="19"/>
      <c r="GDS220" s="67"/>
      <c r="GDT220" s="67"/>
      <c r="GDU220" s="31"/>
      <c r="GDV220" s="19"/>
      <c r="GDW220" s="67"/>
      <c r="GDX220" s="67"/>
      <c r="GDY220" s="31"/>
      <c r="GDZ220" s="19"/>
      <c r="GEA220" s="67"/>
      <c r="GEB220" s="67"/>
      <c r="GEC220" s="31"/>
      <c r="GED220" s="19"/>
      <c r="GEE220" s="67"/>
      <c r="GEF220" s="67"/>
      <c r="GEG220" s="31"/>
      <c r="GEH220" s="19"/>
      <c r="GEI220" s="67"/>
      <c r="GEJ220" s="67"/>
      <c r="GEK220" s="31"/>
      <c r="GEL220" s="19"/>
      <c r="GEM220" s="67"/>
      <c r="GEN220" s="67"/>
      <c r="GEO220" s="31"/>
      <c r="GEP220" s="19"/>
      <c r="GEQ220" s="67"/>
      <c r="GER220" s="67"/>
      <c r="GES220" s="31"/>
      <c r="GET220" s="19"/>
      <c r="GEU220" s="67"/>
      <c r="GEV220" s="67"/>
      <c r="GEW220" s="31"/>
      <c r="GEX220" s="19"/>
      <c r="GEY220" s="67"/>
      <c r="GEZ220" s="67"/>
      <c r="GFA220" s="31"/>
      <c r="GFB220" s="19"/>
      <c r="GFC220" s="67"/>
      <c r="GFD220" s="67"/>
      <c r="GFE220" s="31"/>
      <c r="GFF220" s="19"/>
      <c r="GFG220" s="67"/>
      <c r="GFH220" s="67"/>
      <c r="GFI220" s="31"/>
      <c r="GFJ220" s="19"/>
      <c r="GFK220" s="67"/>
      <c r="GFL220" s="67"/>
      <c r="GFM220" s="31"/>
      <c r="GFN220" s="19"/>
      <c r="GFO220" s="67"/>
      <c r="GFP220" s="67"/>
      <c r="GFQ220" s="31"/>
      <c r="GFR220" s="19"/>
      <c r="GFS220" s="67"/>
      <c r="GFT220" s="67"/>
      <c r="GFU220" s="31"/>
      <c r="GFV220" s="19"/>
      <c r="GFW220" s="67"/>
      <c r="GFX220" s="67"/>
      <c r="GFY220" s="31"/>
      <c r="GFZ220" s="19"/>
      <c r="GGA220" s="67"/>
      <c r="GGB220" s="67"/>
      <c r="GGC220" s="31"/>
      <c r="GGD220" s="19"/>
      <c r="GGE220" s="67"/>
      <c r="GGF220" s="67"/>
      <c r="GGG220" s="31"/>
      <c r="GGH220" s="19"/>
      <c r="GGI220" s="67"/>
      <c r="GGJ220" s="67"/>
      <c r="GGK220" s="31"/>
      <c r="GGL220" s="19"/>
      <c r="GGM220" s="67"/>
      <c r="GGN220" s="67"/>
      <c r="GGO220" s="31"/>
      <c r="GGP220" s="19"/>
      <c r="GGQ220" s="67"/>
      <c r="GGR220" s="67"/>
      <c r="GGS220" s="31"/>
      <c r="GGT220" s="19"/>
      <c r="GGU220" s="67"/>
      <c r="GGV220" s="67"/>
      <c r="GGW220" s="31"/>
      <c r="GGX220" s="19"/>
      <c r="GGY220" s="67"/>
      <c r="GGZ220" s="67"/>
      <c r="GHA220" s="31"/>
      <c r="GHB220" s="19"/>
      <c r="GHC220" s="67"/>
      <c r="GHD220" s="67"/>
      <c r="GHE220" s="31"/>
      <c r="GHF220" s="19"/>
      <c r="GHG220" s="67"/>
      <c r="GHH220" s="67"/>
      <c r="GHI220" s="31"/>
      <c r="GHJ220" s="19"/>
      <c r="GHK220" s="67"/>
      <c r="GHL220" s="67"/>
      <c r="GHM220" s="31"/>
      <c r="GHN220" s="19"/>
      <c r="GHO220" s="67"/>
      <c r="GHP220" s="67"/>
      <c r="GHQ220" s="31"/>
      <c r="GHR220" s="19"/>
      <c r="GHS220" s="67"/>
      <c r="GHT220" s="67"/>
      <c r="GHU220" s="31"/>
      <c r="GHV220" s="19"/>
      <c r="GHW220" s="67"/>
      <c r="GHX220" s="67"/>
      <c r="GHY220" s="31"/>
      <c r="GHZ220" s="19"/>
      <c r="GIA220" s="67"/>
      <c r="GIB220" s="67"/>
      <c r="GIC220" s="31"/>
      <c r="GID220" s="19"/>
      <c r="GIE220" s="67"/>
      <c r="GIF220" s="67"/>
      <c r="GIG220" s="31"/>
      <c r="GIH220" s="19"/>
      <c r="GII220" s="67"/>
      <c r="GIJ220" s="67"/>
      <c r="GIK220" s="31"/>
      <c r="GIL220" s="19"/>
      <c r="GIM220" s="67"/>
      <c r="GIN220" s="67"/>
      <c r="GIO220" s="31"/>
      <c r="GIP220" s="19"/>
      <c r="GIQ220" s="67"/>
      <c r="GIR220" s="67"/>
      <c r="GIS220" s="31"/>
      <c r="GIT220" s="19"/>
      <c r="GIU220" s="67"/>
      <c r="GIV220" s="67"/>
      <c r="GIW220" s="31"/>
      <c r="GIX220" s="19"/>
      <c r="GIY220" s="67"/>
      <c r="GIZ220" s="67"/>
      <c r="GJA220" s="31"/>
      <c r="GJB220" s="19"/>
      <c r="GJC220" s="67"/>
      <c r="GJD220" s="67"/>
      <c r="GJE220" s="31"/>
      <c r="GJF220" s="19"/>
      <c r="GJG220" s="67"/>
      <c r="GJH220" s="67"/>
      <c r="GJI220" s="31"/>
      <c r="GJJ220" s="19"/>
      <c r="GJK220" s="67"/>
      <c r="GJL220" s="67"/>
      <c r="GJM220" s="31"/>
      <c r="GJN220" s="19"/>
      <c r="GJO220" s="67"/>
      <c r="GJP220" s="67"/>
      <c r="GJQ220" s="31"/>
      <c r="GJR220" s="19"/>
      <c r="GJS220" s="67"/>
      <c r="GJT220" s="67"/>
      <c r="GJU220" s="31"/>
      <c r="GJV220" s="19"/>
      <c r="GJW220" s="67"/>
      <c r="GJX220" s="67"/>
      <c r="GJY220" s="31"/>
      <c r="GJZ220" s="19"/>
      <c r="GKA220" s="67"/>
      <c r="GKB220" s="67"/>
      <c r="GKC220" s="31"/>
      <c r="GKD220" s="19"/>
      <c r="GKE220" s="67"/>
      <c r="GKF220" s="67"/>
      <c r="GKG220" s="31"/>
      <c r="GKH220" s="19"/>
      <c r="GKI220" s="67"/>
      <c r="GKJ220" s="67"/>
      <c r="GKK220" s="31"/>
      <c r="GKL220" s="19"/>
      <c r="GKM220" s="67"/>
      <c r="GKN220" s="67"/>
      <c r="GKO220" s="31"/>
      <c r="GKP220" s="19"/>
      <c r="GKQ220" s="67"/>
      <c r="GKR220" s="67"/>
      <c r="GKS220" s="31"/>
      <c r="GKT220" s="19"/>
      <c r="GKU220" s="67"/>
      <c r="GKV220" s="67"/>
      <c r="GKW220" s="31"/>
      <c r="GKX220" s="19"/>
      <c r="GKY220" s="67"/>
      <c r="GKZ220" s="67"/>
      <c r="GLA220" s="31"/>
      <c r="GLB220" s="19"/>
      <c r="GLC220" s="67"/>
      <c r="GLD220" s="67"/>
      <c r="GLE220" s="31"/>
      <c r="GLF220" s="19"/>
      <c r="GLG220" s="67"/>
      <c r="GLH220" s="67"/>
      <c r="GLI220" s="31"/>
      <c r="GLJ220" s="19"/>
      <c r="GLK220" s="67"/>
      <c r="GLL220" s="67"/>
      <c r="GLM220" s="31"/>
      <c r="GLN220" s="19"/>
      <c r="GLO220" s="67"/>
      <c r="GLP220" s="67"/>
      <c r="GLQ220" s="31"/>
      <c r="GLR220" s="19"/>
      <c r="GLS220" s="67"/>
      <c r="GLT220" s="67"/>
      <c r="GLU220" s="31"/>
      <c r="GLV220" s="19"/>
      <c r="GLW220" s="67"/>
      <c r="GLX220" s="67"/>
      <c r="GLY220" s="31"/>
      <c r="GLZ220" s="19"/>
      <c r="GMA220" s="67"/>
      <c r="GMB220" s="67"/>
      <c r="GMC220" s="31"/>
      <c r="GMD220" s="19"/>
      <c r="GME220" s="67"/>
      <c r="GMF220" s="67"/>
      <c r="GMG220" s="31"/>
      <c r="GMH220" s="19"/>
      <c r="GMI220" s="67"/>
      <c r="GMJ220" s="67"/>
      <c r="GMK220" s="31"/>
      <c r="GML220" s="19"/>
      <c r="GMM220" s="67"/>
      <c r="GMN220" s="67"/>
      <c r="GMO220" s="31"/>
      <c r="GMP220" s="19"/>
      <c r="GMQ220" s="67"/>
      <c r="GMR220" s="67"/>
      <c r="GMS220" s="31"/>
      <c r="GMT220" s="19"/>
      <c r="GMU220" s="67"/>
      <c r="GMV220" s="67"/>
      <c r="GMW220" s="31"/>
      <c r="GMX220" s="19"/>
      <c r="GMY220" s="67"/>
      <c r="GMZ220" s="67"/>
      <c r="GNA220" s="31"/>
      <c r="GNB220" s="19"/>
      <c r="GNC220" s="67"/>
      <c r="GND220" s="67"/>
      <c r="GNE220" s="31"/>
      <c r="GNF220" s="19"/>
      <c r="GNG220" s="67"/>
      <c r="GNH220" s="67"/>
      <c r="GNI220" s="31"/>
      <c r="GNJ220" s="19"/>
      <c r="GNK220" s="67"/>
      <c r="GNL220" s="67"/>
      <c r="GNM220" s="31"/>
      <c r="GNN220" s="19"/>
      <c r="GNO220" s="67"/>
      <c r="GNP220" s="67"/>
      <c r="GNQ220" s="31"/>
      <c r="GNR220" s="19"/>
      <c r="GNS220" s="67"/>
      <c r="GNT220" s="67"/>
      <c r="GNU220" s="31"/>
      <c r="GNV220" s="19"/>
      <c r="GNW220" s="67"/>
      <c r="GNX220" s="67"/>
      <c r="GNY220" s="31"/>
      <c r="GNZ220" s="19"/>
      <c r="GOA220" s="67"/>
      <c r="GOB220" s="67"/>
      <c r="GOC220" s="31"/>
      <c r="GOD220" s="19"/>
      <c r="GOE220" s="67"/>
      <c r="GOF220" s="67"/>
      <c r="GOG220" s="31"/>
      <c r="GOH220" s="19"/>
      <c r="GOI220" s="67"/>
      <c r="GOJ220" s="67"/>
      <c r="GOK220" s="31"/>
      <c r="GOL220" s="19"/>
      <c r="GOM220" s="67"/>
      <c r="GON220" s="67"/>
      <c r="GOO220" s="31"/>
      <c r="GOP220" s="19"/>
      <c r="GOQ220" s="67"/>
      <c r="GOR220" s="67"/>
      <c r="GOS220" s="31"/>
      <c r="GOT220" s="19"/>
      <c r="GOU220" s="67"/>
      <c r="GOV220" s="67"/>
      <c r="GOW220" s="31"/>
      <c r="GOX220" s="19"/>
      <c r="GOY220" s="67"/>
      <c r="GOZ220" s="67"/>
      <c r="GPA220" s="31"/>
      <c r="GPB220" s="19"/>
      <c r="GPC220" s="67"/>
      <c r="GPD220" s="67"/>
      <c r="GPE220" s="31"/>
      <c r="GPF220" s="19"/>
      <c r="GPG220" s="67"/>
      <c r="GPH220" s="67"/>
      <c r="GPI220" s="31"/>
      <c r="GPJ220" s="19"/>
      <c r="GPK220" s="67"/>
      <c r="GPL220" s="67"/>
      <c r="GPM220" s="31"/>
      <c r="GPN220" s="19"/>
      <c r="GPO220" s="67"/>
      <c r="GPP220" s="67"/>
      <c r="GPQ220" s="31"/>
      <c r="GPR220" s="19"/>
      <c r="GPS220" s="67"/>
      <c r="GPT220" s="67"/>
      <c r="GPU220" s="31"/>
      <c r="GPV220" s="19"/>
      <c r="GPW220" s="67"/>
      <c r="GPX220" s="67"/>
      <c r="GPY220" s="31"/>
      <c r="GPZ220" s="19"/>
      <c r="GQA220" s="67"/>
      <c r="GQB220" s="67"/>
      <c r="GQC220" s="31"/>
      <c r="GQD220" s="19"/>
      <c r="GQE220" s="67"/>
      <c r="GQF220" s="67"/>
      <c r="GQG220" s="31"/>
      <c r="GQH220" s="19"/>
      <c r="GQI220" s="67"/>
      <c r="GQJ220" s="67"/>
      <c r="GQK220" s="31"/>
      <c r="GQL220" s="19"/>
      <c r="GQM220" s="67"/>
      <c r="GQN220" s="67"/>
      <c r="GQO220" s="31"/>
      <c r="GQP220" s="19"/>
      <c r="GQQ220" s="67"/>
      <c r="GQR220" s="67"/>
      <c r="GQS220" s="31"/>
      <c r="GQT220" s="19"/>
      <c r="GQU220" s="67"/>
      <c r="GQV220" s="67"/>
      <c r="GQW220" s="31"/>
      <c r="GQX220" s="19"/>
      <c r="GQY220" s="67"/>
      <c r="GQZ220" s="67"/>
      <c r="GRA220" s="31"/>
      <c r="GRB220" s="19"/>
      <c r="GRC220" s="67"/>
      <c r="GRD220" s="67"/>
      <c r="GRE220" s="31"/>
      <c r="GRF220" s="19"/>
      <c r="GRG220" s="67"/>
      <c r="GRH220" s="67"/>
      <c r="GRI220" s="31"/>
      <c r="GRJ220" s="19"/>
      <c r="GRK220" s="67"/>
      <c r="GRL220" s="67"/>
      <c r="GRM220" s="31"/>
      <c r="GRN220" s="19"/>
      <c r="GRO220" s="67"/>
      <c r="GRP220" s="67"/>
      <c r="GRQ220" s="31"/>
      <c r="GRR220" s="19"/>
      <c r="GRS220" s="67"/>
      <c r="GRT220" s="67"/>
      <c r="GRU220" s="31"/>
      <c r="GRV220" s="19"/>
      <c r="GRW220" s="67"/>
      <c r="GRX220" s="67"/>
      <c r="GRY220" s="31"/>
      <c r="GRZ220" s="19"/>
      <c r="GSA220" s="67"/>
      <c r="GSB220" s="67"/>
      <c r="GSC220" s="31"/>
      <c r="GSD220" s="19"/>
      <c r="GSE220" s="67"/>
      <c r="GSF220" s="67"/>
      <c r="GSG220" s="31"/>
      <c r="GSH220" s="19"/>
      <c r="GSI220" s="67"/>
      <c r="GSJ220" s="67"/>
      <c r="GSK220" s="31"/>
      <c r="GSL220" s="19"/>
      <c r="GSM220" s="67"/>
      <c r="GSN220" s="67"/>
      <c r="GSO220" s="31"/>
      <c r="GSP220" s="19"/>
      <c r="GSQ220" s="67"/>
      <c r="GSR220" s="67"/>
      <c r="GSS220" s="31"/>
      <c r="GST220" s="19"/>
      <c r="GSU220" s="67"/>
      <c r="GSV220" s="67"/>
      <c r="GSW220" s="31"/>
      <c r="GSX220" s="19"/>
      <c r="GSY220" s="67"/>
      <c r="GSZ220" s="67"/>
      <c r="GTA220" s="31"/>
      <c r="GTB220" s="19"/>
      <c r="GTC220" s="67"/>
      <c r="GTD220" s="67"/>
      <c r="GTE220" s="31"/>
      <c r="GTF220" s="19"/>
      <c r="GTG220" s="67"/>
      <c r="GTH220" s="67"/>
      <c r="GTI220" s="31"/>
      <c r="GTJ220" s="19"/>
      <c r="GTK220" s="67"/>
      <c r="GTL220" s="67"/>
      <c r="GTM220" s="31"/>
      <c r="GTN220" s="19"/>
      <c r="GTO220" s="67"/>
      <c r="GTP220" s="67"/>
      <c r="GTQ220" s="31"/>
      <c r="GTR220" s="19"/>
      <c r="GTS220" s="67"/>
      <c r="GTT220" s="67"/>
      <c r="GTU220" s="31"/>
      <c r="GTV220" s="19"/>
      <c r="GTW220" s="67"/>
      <c r="GTX220" s="67"/>
      <c r="GTY220" s="31"/>
      <c r="GTZ220" s="19"/>
      <c r="GUA220" s="67"/>
      <c r="GUB220" s="67"/>
      <c r="GUC220" s="31"/>
      <c r="GUD220" s="19"/>
      <c r="GUE220" s="67"/>
      <c r="GUF220" s="67"/>
      <c r="GUG220" s="31"/>
      <c r="GUH220" s="19"/>
      <c r="GUI220" s="67"/>
      <c r="GUJ220" s="67"/>
      <c r="GUK220" s="31"/>
      <c r="GUL220" s="19"/>
      <c r="GUM220" s="67"/>
      <c r="GUN220" s="67"/>
      <c r="GUO220" s="31"/>
      <c r="GUP220" s="19"/>
      <c r="GUQ220" s="67"/>
      <c r="GUR220" s="67"/>
      <c r="GUS220" s="31"/>
      <c r="GUT220" s="19"/>
      <c r="GUU220" s="67"/>
      <c r="GUV220" s="67"/>
      <c r="GUW220" s="31"/>
      <c r="GUX220" s="19"/>
      <c r="GUY220" s="67"/>
      <c r="GUZ220" s="67"/>
      <c r="GVA220" s="31"/>
      <c r="GVB220" s="19"/>
      <c r="GVC220" s="67"/>
      <c r="GVD220" s="67"/>
      <c r="GVE220" s="31"/>
      <c r="GVF220" s="19"/>
      <c r="GVG220" s="67"/>
      <c r="GVH220" s="67"/>
      <c r="GVI220" s="31"/>
      <c r="GVJ220" s="19"/>
      <c r="GVK220" s="67"/>
      <c r="GVL220" s="67"/>
      <c r="GVM220" s="31"/>
      <c r="GVN220" s="19"/>
      <c r="GVO220" s="67"/>
      <c r="GVP220" s="67"/>
      <c r="GVQ220" s="31"/>
      <c r="GVR220" s="19"/>
      <c r="GVS220" s="67"/>
      <c r="GVT220" s="67"/>
      <c r="GVU220" s="31"/>
      <c r="GVV220" s="19"/>
      <c r="GVW220" s="67"/>
      <c r="GVX220" s="67"/>
      <c r="GVY220" s="31"/>
      <c r="GVZ220" s="19"/>
      <c r="GWA220" s="67"/>
      <c r="GWB220" s="67"/>
      <c r="GWC220" s="31"/>
      <c r="GWD220" s="19"/>
      <c r="GWE220" s="67"/>
      <c r="GWF220" s="67"/>
      <c r="GWG220" s="31"/>
      <c r="GWH220" s="19"/>
      <c r="GWI220" s="67"/>
      <c r="GWJ220" s="67"/>
      <c r="GWK220" s="31"/>
      <c r="GWL220" s="19"/>
      <c r="GWM220" s="67"/>
      <c r="GWN220" s="67"/>
      <c r="GWO220" s="31"/>
      <c r="GWP220" s="19"/>
      <c r="GWQ220" s="67"/>
      <c r="GWR220" s="67"/>
      <c r="GWS220" s="31"/>
      <c r="GWT220" s="19"/>
      <c r="GWU220" s="67"/>
      <c r="GWV220" s="67"/>
      <c r="GWW220" s="31"/>
      <c r="GWX220" s="19"/>
      <c r="GWY220" s="67"/>
      <c r="GWZ220" s="67"/>
      <c r="GXA220" s="31"/>
      <c r="GXB220" s="19"/>
      <c r="GXC220" s="67"/>
      <c r="GXD220" s="67"/>
      <c r="GXE220" s="31"/>
      <c r="GXF220" s="19"/>
      <c r="GXG220" s="67"/>
      <c r="GXH220" s="67"/>
      <c r="GXI220" s="31"/>
      <c r="GXJ220" s="19"/>
      <c r="GXK220" s="67"/>
      <c r="GXL220" s="67"/>
      <c r="GXM220" s="31"/>
      <c r="GXN220" s="19"/>
      <c r="GXO220" s="67"/>
      <c r="GXP220" s="67"/>
      <c r="GXQ220" s="31"/>
      <c r="GXR220" s="19"/>
      <c r="GXS220" s="67"/>
      <c r="GXT220" s="67"/>
      <c r="GXU220" s="31"/>
      <c r="GXV220" s="19"/>
      <c r="GXW220" s="67"/>
      <c r="GXX220" s="67"/>
      <c r="GXY220" s="31"/>
      <c r="GXZ220" s="19"/>
      <c r="GYA220" s="67"/>
      <c r="GYB220" s="67"/>
      <c r="GYC220" s="31"/>
      <c r="GYD220" s="19"/>
      <c r="GYE220" s="67"/>
      <c r="GYF220" s="67"/>
      <c r="GYG220" s="31"/>
      <c r="GYH220" s="19"/>
      <c r="GYI220" s="67"/>
      <c r="GYJ220" s="67"/>
      <c r="GYK220" s="31"/>
      <c r="GYL220" s="19"/>
      <c r="GYM220" s="67"/>
      <c r="GYN220" s="67"/>
      <c r="GYO220" s="31"/>
      <c r="GYP220" s="19"/>
      <c r="GYQ220" s="67"/>
      <c r="GYR220" s="67"/>
      <c r="GYS220" s="31"/>
      <c r="GYT220" s="19"/>
      <c r="GYU220" s="67"/>
      <c r="GYV220" s="67"/>
      <c r="GYW220" s="31"/>
      <c r="GYX220" s="19"/>
      <c r="GYY220" s="67"/>
      <c r="GYZ220" s="67"/>
      <c r="GZA220" s="31"/>
      <c r="GZB220" s="19"/>
      <c r="GZC220" s="67"/>
      <c r="GZD220" s="67"/>
      <c r="GZE220" s="31"/>
      <c r="GZF220" s="19"/>
      <c r="GZG220" s="67"/>
      <c r="GZH220" s="67"/>
      <c r="GZI220" s="31"/>
      <c r="GZJ220" s="19"/>
      <c r="GZK220" s="67"/>
      <c r="GZL220" s="67"/>
      <c r="GZM220" s="31"/>
      <c r="GZN220" s="19"/>
      <c r="GZO220" s="67"/>
      <c r="GZP220" s="67"/>
      <c r="GZQ220" s="31"/>
      <c r="GZR220" s="19"/>
      <c r="GZS220" s="67"/>
      <c r="GZT220" s="67"/>
      <c r="GZU220" s="31"/>
      <c r="GZV220" s="19"/>
      <c r="GZW220" s="67"/>
      <c r="GZX220" s="67"/>
      <c r="GZY220" s="31"/>
      <c r="GZZ220" s="19"/>
      <c r="HAA220" s="67"/>
      <c r="HAB220" s="67"/>
      <c r="HAC220" s="31"/>
      <c r="HAD220" s="19"/>
      <c r="HAE220" s="67"/>
      <c r="HAF220" s="67"/>
      <c r="HAG220" s="31"/>
      <c r="HAH220" s="19"/>
      <c r="HAI220" s="67"/>
      <c r="HAJ220" s="67"/>
      <c r="HAK220" s="31"/>
      <c r="HAL220" s="19"/>
      <c r="HAM220" s="67"/>
      <c r="HAN220" s="67"/>
      <c r="HAO220" s="31"/>
      <c r="HAP220" s="19"/>
      <c r="HAQ220" s="67"/>
      <c r="HAR220" s="67"/>
      <c r="HAS220" s="31"/>
      <c r="HAT220" s="19"/>
      <c r="HAU220" s="67"/>
      <c r="HAV220" s="67"/>
      <c r="HAW220" s="31"/>
      <c r="HAX220" s="19"/>
      <c r="HAY220" s="67"/>
      <c r="HAZ220" s="67"/>
      <c r="HBA220" s="31"/>
      <c r="HBB220" s="19"/>
      <c r="HBC220" s="67"/>
      <c r="HBD220" s="67"/>
      <c r="HBE220" s="31"/>
      <c r="HBF220" s="19"/>
      <c r="HBG220" s="67"/>
      <c r="HBH220" s="67"/>
      <c r="HBI220" s="31"/>
      <c r="HBJ220" s="19"/>
      <c r="HBK220" s="67"/>
      <c r="HBL220" s="67"/>
      <c r="HBM220" s="31"/>
      <c r="HBN220" s="19"/>
      <c r="HBO220" s="67"/>
      <c r="HBP220" s="67"/>
      <c r="HBQ220" s="31"/>
      <c r="HBR220" s="19"/>
      <c r="HBS220" s="67"/>
      <c r="HBT220" s="67"/>
      <c r="HBU220" s="31"/>
      <c r="HBV220" s="19"/>
      <c r="HBW220" s="67"/>
      <c r="HBX220" s="67"/>
      <c r="HBY220" s="31"/>
      <c r="HBZ220" s="19"/>
      <c r="HCA220" s="67"/>
      <c r="HCB220" s="67"/>
      <c r="HCC220" s="31"/>
      <c r="HCD220" s="19"/>
      <c r="HCE220" s="67"/>
      <c r="HCF220" s="67"/>
      <c r="HCG220" s="31"/>
      <c r="HCH220" s="19"/>
      <c r="HCI220" s="67"/>
      <c r="HCJ220" s="67"/>
      <c r="HCK220" s="31"/>
      <c r="HCL220" s="19"/>
      <c r="HCM220" s="67"/>
      <c r="HCN220" s="67"/>
      <c r="HCO220" s="31"/>
      <c r="HCP220" s="19"/>
      <c r="HCQ220" s="67"/>
      <c r="HCR220" s="67"/>
      <c r="HCS220" s="31"/>
      <c r="HCT220" s="19"/>
      <c r="HCU220" s="67"/>
      <c r="HCV220" s="67"/>
      <c r="HCW220" s="31"/>
      <c r="HCX220" s="19"/>
      <c r="HCY220" s="67"/>
      <c r="HCZ220" s="67"/>
      <c r="HDA220" s="31"/>
      <c r="HDB220" s="19"/>
      <c r="HDC220" s="67"/>
      <c r="HDD220" s="67"/>
      <c r="HDE220" s="31"/>
      <c r="HDF220" s="19"/>
      <c r="HDG220" s="67"/>
      <c r="HDH220" s="67"/>
      <c r="HDI220" s="31"/>
      <c r="HDJ220" s="19"/>
      <c r="HDK220" s="67"/>
      <c r="HDL220" s="67"/>
      <c r="HDM220" s="31"/>
      <c r="HDN220" s="19"/>
      <c r="HDO220" s="67"/>
      <c r="HDP220" s="67"/>
      <c r="HDQ220" s="31"/>
      <c r="HDR220" s="19"/>
      <c r="HDS220" s="67"/>
      <c r="HDT220" s="67"/>
      <c r="HDU220" s="31"/>
      <c r="HDV220" s="19"/>
      <c r="HDW220" s="67"/>
      <c r="HDX220" s="67"/>
      <c r="HDY220" s="31"/>
      <c r="HDZ220" s="19"/>
      <c r="HEA220" s="67"/>
      <c r="HEB220" s="67"/>
      <c r="HEC220" s="31"/>
      <c r="HED220" s="19"/>
      <c r="HEE220" s="67"/>
      <c r="HEF220" s="67"/>
      <c r="HEG220" s="31"/>
      <c r="HEH220" s="19"/>
      <c r="HEI220" s="67"/>
      <c r="HEJ220" s="67"/>
      <c r="HEK220" s="31"/>
      <c r="HEL220" s="19"/>
      <c r="HEM220" s="67"/>
      <c r="HEN220" s="67"/>
      <c r="HEO220" s="31"/>
      <c r="HEP220" s="19"/>
      <c r="HEQ220" s="67"/>
      <c r="HER220" s="67"/>
      <c r="HES220" s="31"/>
      <c r="HET220" s="19"/>
      <c r="HEU220" s="67"/>
      <c r="HEV220" s="67"/>
      <c r="HEW220" s="31"/>
      <c r="HEX220" s="19"/>
      <c r="HEY220" s="67"/>
      <c r="HEZ220" s="67"/>
      <c r="HFA220" s="31"/>
      <c r="HFB220" s="19"/>
      <c r="HFC220" s="67"/>
      <c r="HFD220" s="67"/>
      <c r="HFE220" s="31"/>
      <c r="HFF220" s="19"/>
      <c r="HFG220" s="67"/>
      <c r="HFH220" s="67"/>
      <c r="HFI220" s="31"/>
      <c r="HFJ220" s="19"/>
      <c r="HFK220" s="67"/>
      <c r="HFL220" s="67"/>
      <c r="HFM220" s="31"/>
      <c r="HFN220" s="19"/>
      <c r="HFO220" s="67"/>
      <c r="HFP220" s="67"/>
      <c r="HFQ220" s="31"/>
      <c r="HFR220" s="19"/>
      <c r="HFS220" s="67"/>
      <c r="HFT220" s="67"/>
      <c r="HFU220" s="31"/>
      <c r="HFV220" s="19"/>
      <c r="HFW220" s="67"/>
      <c r="HFX220" s="67"/>
      <c r="HFY220" s="31"/>
      <c r="HFZ220" s="19"/>
      <c r="HGA220" s="67"/>
      <c r="HGB220" s="67"/>
      <c r="HGC220" s="31"/>
      <c r="HGD220" s="19"/>
      <c r="HGE220" s="67"/>
      <c r="HGF220" s="67"/>
      <c r="HGG220" s="31"/>
      <c r="HGH220" s="19"/>
      <c r="HGI220" s="67"/>
      <c r="HGJ220" s="67"/>
      <c r="HGK220" s="31"/>
      <c r="HGL220" s="19"/>
      <c r="HGM220" s="67"/>
      <c r="HGN220" s="67"/>
      <c r="HGO220" s="31"/>
      <c r="HGP220" s="19"/>
      <c r="HGQ220" s="67"/>
      <c r="HGR220" s="67"/>
      <c r="HGS220" s="31"/>
      <c r="HGT220" s="19"/>
      <c r="HGU220" s="67"/>
      <c r="HGV220" s="67"/>
      <c r="HGW220" s="31"/>
      <c r="HGX220" s="19"/>
      <c r="HGY220" s="67"/>
      <c r="HGZ220" s="67"/>
      <c r="HHA220" s="31"/>
      <c r="HHB220" s="19"/>
      <c r="HHC220" s="67"/>
      <c r="HHD220" s="67"/>
      <c r="HHE220" s="31"/>
      <c r="HHF220" s="19"/>
      <c r="HHG220" s="67"/>
      <c r="HHH220" s="67"/>
      <c r="HHI220" s="31"/>
      <c r="HHJ220" s="19"/>
      <c r="HHK220" s="67"/>
      <c r="HHL220" s="67"/>
      <c r="HHM220" s="31"/>
      <c r="HHN220" s="19"/>
      <c r="HHO220" s="67"/>
      <c r="HHP220" s="67"/>
      <c r="HHQ220" s="31"/>
      <c r="HHR220" s="19"/>
      <c r="HHS220" s="67"/>
      <c r="HHT220" s="67"/>
      <c r="HHU220" s="31"/>
      <c r="HHV220" s="19"/>
      <c r="HHW220" s="67"/>
      <c r="HHX220" s="67"/>
      <c r="HHY220" s="31"/>
      <c r="HHZ220" s="19"/>
      <c r="HIA220" s="67"/>
      <c r="HIB220" s="67"/>
      <c r="HIC220" s="31"/>
      <c r="HID220" s="19"/>
      <c r="HIE220" s="67"/>
      <c r="HIF220" s="67"/>
      <c r="HIG220" s="31"/>
      <c r="HIH220" s="19"/>
      <c r="HII220" s="67"/>
      <c r="HIJ220" s="67"/>
      <c r="HIK220" s="31"/>
      <c r="HIL220" s="19"/>
      <c r="HIM220" s="67"/>
      <c r="HIN220" s="67"/>
      <c r="HIO220" s="31"/>
      <c r="HIP220" s="19"/>
      <c r="HIQ220" s="67"/>
      <c r="HIR220" s="67"/>
      <c r="HIS220" s="31"/>
      <c r="HIT220" s="19"/>
      <c r="HIU220" s="67"/>
      <c r="HIV220" s="67"/>
      <c r="HIW220" s="31"/>
      <c r="HIX220" s="19"/>
      <c r="HIY220" s="67"/>
      <c r="HIZ220" s="67"/>
      <c r="HJA220" s="31"/>
      <c r="HJB220" s="19"/>
      <c r="HJC220" s="67"/>
      <c r="HJD220" s="67"/>
      <c r="HJE220" s="31"/>
      <c r="HJF220" s="19"/>
      <c r="HJG220" s="67"/>
      <c r="HJH220" s="67"/>
      <c r="HJI220" s="31"/>
      <c r="HJJ220" s="19"/>
      <c r="HJK220" s="67"/>
      <c r="HJL220" s="67"/>
      <c r="HJM220" s="31"/>
      <c r="HJN220" s="19"/>
      <c r="HJO220" s="67"/>
      <c r="HJP220" s="67"/>
      <c r="HJQ220" s="31"/>
      <c r="HJR220" s="19"/>
      <c r="HJS220" s="67"/>
      <c r="HJT220" s="67"/>
      <c r="HJU220" s="31"/>
      <c r="HJV220" s="19"/>
      <c r="HJW220" s="67"/>
      <c r="HJX220" s="67"/>
      <c r="HJY220" s="31"/>
      <c r="HJZ220" s="19"/>
      <c r="HKA220" s="67"/>
      <c r="HKB220" s="67"/>
      <c r="HKC220" s="31"/>
      <c r="HKD220" s="19"/>
      <c r="HKE220" s="67"/>
      <c r="HKF220" s="67"/>
      <c r="HKG220" s="31"/>
      <c r="HKH220" s="19"/>
      <c r="HKI220" s="67"/>
      <c r="HKJ220" s="67"/>
      <c r="HKK220" s="31"/>
      <c r="HKL220" s="19"/>
      <c r="HKM220" s="67"/>
      <c r="HKN220" s="67"/>
      <c r="HKO220" s="31"/>
      <c r="HKP220" s="19"/>
      <c r="HKQ220" s="67"/>
      <c r="HKR220" s="67"/>
      <c r="HKS220" s="31"/>
      <c r="HKT220" s="19"/>
      <c r="HKU220" s="67"/>
      <c r="HKV220" s="67"/>
      <c r="HKW220" s="31"/>
      <c r="HKX220" s="19"/>
      <c r="HKY220" s="67"/>
      <c r="HKZ220" s="67"/>
      <c r="HLA220" s="31"/>
      <c r="HLB220" s="19"/>
      <c r="HLC220" s="67"/>
      <c r="HLD220" s="67"/>
      <c r="HLE220" s="31"/>
      <c r="HLF220" s="19"/>
      <c r="HLG220" s="67"/>
      <c r="HLH220" s="67"/>
      <c r="HLI220" s="31"/>
      <c r="HLJ220" s="19"/>
      <c r="HLK220" s="67"/>
      <c r="HLL220" s="67"/>
      <c r="HLM220" s="31"/>
      <c r="HLN220" s="19"/>
      <c r="HLO220" s="67"/>
      <c r="HLP220" s="67"/>
      <c r="HLQ220" s="31"/>
      <c r="HLR220" s="19"/>
      <c r="HLS220" s="67"/>
      <c r="HLT220" s="67"/>
      <c r="HLU220" s="31"/>
      <c r="HLV220" s="19"/>
      <c r="HLW220" s="67"/>
      <c r="HLX220" s="67"/>
      <c r="HLY220" s="31"/>
      <c r="HLZ220" s="19"/>
      <c r="HMA220" s="67"/>
      <c r="HMB220" s="67"/>
      <c r="HMC220" s="31"/>
      <c r="HMD220" s="19"/>
      <c r="HME220" s="67"/>
      <c r="HMF220" s="67"/>
      <c r="HMG220" s="31"/>
      <c r="HMH220" s="19"/>
      <c r="HMI220" s="67"/>
      <c r="HMJ220" s="67"/>
      <c r="HMK220" s="31"/>
      <c r="HML220" s="19"/>
      <c r="HMM220" s="67"/>
      <c r="HMN220" s="67"/>
      <c r="HMO220" s="31"/>
      <c r="HMP220" s="19"/>
      <c r="HMQ220" s="67"/>
      <c r="HMR220" s="67"/>
      <c r="HMS220" s="31"/>
      <c r="HMT220" s="19"/>
      <c r="HMU220" s="67"/>
      <c r="HMV220" s="67"/>
      <c r="HMW220" s="31"/>
      <c r="HMX220" s="19"/>
      <c r="HMY220" s="67"/>
      <c r="HMZ220" s="67"/>
      <c r="HNA220" s="31"/>
      <c r="HNB220" s="19"/>
      <c r="HNC220" s="67"/>
      <c r="HND220" s="67"/>
      <c r="HNE220" s="31"/>
      <c r="HNF220" s="19"/>
      <c r="HNG220" s="67"/>
      <c r="HNH220" s="67"/>
      <c r="HNI220" s="31"/>
      <c r="HNJ220" s="19"/>
      <c r="HNK220" s="67"/>
      <c r="HNL220" s="67"/>
      <c r="HNM220" s="31"/>
      <c r="HNN220" s="19"/>
      <c r="HNO220" s="67"/>
      <c r="HNP220" s="67"/>
      <c r="HNQ220" s="31"/>
      <c r="HNR220" s="19"/>
      <c r="HNS220" s="67"/>
      <c r="HNT220" s="67"/>
      <c r="HNU220" s="31"/>
      <c r="HNV220" s="19"/>
      <c r="HNW220" s="67"/>
      <c r="HNX220" s="67"/>
      <c r="HNY220" s="31"/>
      <c r="HNZ220" s="19"/>
      <c r="HOA220" s="67"/>
      <c r="HOB220" s="67"/>
      <c r="HOC220" s="31"/>
      <c r="HOD220" s="19"/>
      <c r="HOE220" s="67"/>
      <c r="HOF220" s="67"/>
      <c r="HOG220" s="31"/>
      <c r="HOH220" s="19"/>
      <c r="HOI220" s="67"/>
      <c r="HOJ220" s="67"/>
      <c r="HOK220" s="31"/>
      <c r="HOL220" s="19"/>
      <c r="HOM220" s="67"/>
      <c r="HON220" s="67"/>
      <c r="HOO220" s="31"/>
      <c r="HOP220" s="19"/>
      <c r="HOQ220" s="67"/>
      <c r="HOR220" s="67"/>
      <c r="HOS220" s="31"/>
      <c r="HOT220" s="19"/>
      <c r="HOU220" s="67"/>
      <c r="HOV220" s="67"/>
      <c r="HOW220" s="31"/>
      <c r="HOX220" s="19"/>
      <c r="HOY220" s="67"/>
      <c r="HOZ220" s="67"/>
      <c r="HPA220" s="31"/>
      <c r="HPB220" s="19"/>
      <c r="HPC220" s="67"/>
      <c r="HPD220" s="67"/>
      <c r="HPE220" s="31"/>
      <c r="HPF220" s="19"/>
      <c r="HPG220" s="67"/>
      <c r="HPH220" s="67"/>
      <c r="HPI220" s="31"/>
      <c r="HPJ220" s="19"/>
      <c r="HPK220" s="67"/>
      <c r="HPL220" s="67"/>
      <c r="HPM220" s="31"/>
      <c r="HPN220" s="19"/>
      <c r="HPO220" s="67"/>
      <c r="HPP220" s="67"/>
      <c r="HPQ220" s="31"/>
      <c r="HPR220" s="19"/>
      <c r="HPS220" s="67"/>
      <c r="HPT220" s="67"/>
      <c r="HPU220" s="31"/>
      <c r="HPV220" s="19"/>
      <c r="HPW220" s="67"/>
      <c r="HPX220" s="67"/>
      <c r="HPY220" s="31"/>
      <c r="HPZ220" s="19"/>
      <c r="HQA220" s="67"/>
      <c r="HQB220" s="67"/>
      <c r="HQC220" s="31"/>
      <c r="HQD220" s="19"/>
      <c r="HQE220" s="67"/>
      <c r="HQF220" s="67"/>
      <c r="HQG220" s="31"/>
      <c r="HQH220" s="19"/>
      <c r="HQI220" s="67"/>
      <c r="HQJ220" s="67"/>
      <c r="HQK220" s="31"/>
      <c r="HQL220" s="19"/>
      <c r="HQM220" s="67"/>
      <c r="HQN220" s="67"/>
      <c r="HQO220" s="31"/>
      <c r="HQP220" s="19"/>
      <c r="HQQ220" s="67"/>
      <c r="HQR220" s="67"/>
      <c r="HQS220" s="31"/>
      <c r="HQT220" s="19"/>
      <c r="HQU220" s="67"/>
      <c r="HQV220" s="67"/>
      <c r="HQW220" s="31"/>
      <c r="HQX220" s="19"/>
      <c r="HQY220" s="67"/>
      <c r="HQZ220" s="67"/>
      <c r="HRA220" s="31"/>
      <c r="HRB220" s="19"/>
      <c r="HRC220" s="67"/>
      <c r="HRD220" s="67"/>
      <c r="HRE220" s="31"/>
      <c r="HRF220" s="19"/>
      <c r="HRG220" s="67"/>
      <c r="HRH220" s="67"/>
      <c r="HRI220" s="31"/>
      <c r="HRJ220" s="19"/>
      <c r="HRK220" s="67"/>
      <c r="HRL220" s="67"/>
      <c r="HRM220" s="31"/>
      <c r="HRN220" s="19"/>
      <c r="HRO220" s="67"/>
      <c r="HRP220" s="67"/>
      <c r="HRQ220" s="31"/>
      <c r="HRR220" s="19"/>
      <c r="HRS220" s="67"/>
      <c r="HRT220" s="67"/>
      <c r="HRU220" s="31"/>
      <c r="HRV220" s="19"/>
      <c r="HRW220" s="67"/>
      <c r="HRX220" s="67"/>
      <c r="HRY220" s="31"/>
      <c r="HRZ220" s="19"/>
      <c r="HSA220" s="67"/>
      <c r="HSB220" s="67"/>
      <c r="HSC220" s="31"/>
      <c r="HSD220" s="19"/>
      <c r="HSE220" s="67"/>
      <c r="HSF220" s="67"/>
      <c r="HSG220" s="31"/>
      <c r="HSH220" s="19"/>
      <c r="HSI220" s="67"/>
      <c r="HSJ220" s="67"/>
      <c r="HSK220" s="31"/>
      <c r="HSL220" s="19"/>
      <c r="HSM220" s="67"/>
      <c r="HSN220" s="67"/>
      <c r="HSO220" s="31"/>
      <c r="HSP220" s="19"/>
      <c r="HSQ220" s="67"/>
      <c r="HSR220" s="67"/>
      <c r="HSS220" s="31"/>
      <c r="HST220" s="19"/>
      <c r="HSU220" s="67"/>
      <c r="HSV220" s="67"/>
      <c r="HSW220" s="31"/>
      <c r="HSX220" s="19"/>
      <c r="HSY220" s="67"/>
      <c r="HSZ220" s="67"/>
      <c r="HTA220" s="31"/>
      <c r="HTB220" s="19"/>
      <c r="HTC220" s="67"/>
      <c r="HTD220" s="67"/>
      <c r="HTE220" s="31"/>
      <c r="HTF220" s="19"/>
      <c r="HTG220" s="67"/>
      <c r="HTH220" s="67"/>
      <c r="HTI220" s="31"/>
      <c r="HTJ220" s="19"/>
      <c r="HTK220" s="67"/>
      <c r="HTL220" s="67"/>
      <c r="HTM220" s="31"/>
      <c r="HTN220" s="19"/>
      <c r="HTO220" s="67"/>
      <c r="HTP220" s="67"/>
      <c r="HTQ220" s="31"/>
      <c r="HTR220" s="19"/>
      <c r="HTS220" s="67"/>
      <c r="HTT220" s="67"/>
      <c r="HTU220" s="31"/>
      <c r="HTV220" s="19"/>
      <c r="HTW220" s="67"/>
      <c r="HTX220" s="67"/>
      <c r="HTY220" s="31"/>
      <c r="HTZ220" s="19"/>
      <c r="HUA220" s="67"/>
      <c r="HUB220" s="67"/>
      <c r="HUC220" s="31"/>
      <c r="HUD220" s="19"/>
      <c r="HUE220" s="67"/>
      <c r="HUF220" s="67"/>
      <c r="HUG220" s="31"/>
      <c r="HUH220" s="19"/>
      <c r="HUI220" s="67"/>
      <c r="HUJ220" s="67"/>
      <c r="HUK220" s="31"/>
      <c r="HUL220" s="19"/>
      <c r="HUM220" s="67"/>
      <c r="HUN220" s="67"/>
      <c r="HUO220" s="31"/>
      <c r="HUP220" s="19"/>
      <c r="HUQ220" s="67"/>
      <c r="HUR220" s="67"/>
      <c r="HUS220" s="31"/>
      <c r="HUT220" s="19"/>
      <c r="HUU220" s="67"/>
      <c r="HUV220" s="67"/>
      <c r="HUW220" s="31"/>
      <c r="HUX220" s="19"/>
      <c r="HUY220" s="67"/>
      <c r="HUZ220" s="67"/>
      <c r="HVA220" s="31"/>
      <c r="HVB220" s="19"/>
      <c r="HVC220" s="67"/>
      <c r="HVD220" s="67"/>
      <c r="HVE220" s="31"/>
      <c r="HVF220" s="19"/>
      <c r="HVG220" s="67"/>
      <c r="HVH220" s="67"/>
      <c r="HVI220" s="31"/>
      <c r="HVJ220" s="19"/>
      <c r="HVK220" s="67"/>
      <c r="HVL220" s="67"/>
      <c r="HVM220" s="31"/>
      <c r="HVN220" s="19"/>
      <c r="HVO220" s="67"/>
      <c r="HVP220" s="67"/>
      <c r="HVQ220" s="31"/>
      <c r="HVR220" s="19"/>
      <c r="HVS220" s="67"/>
      <c r="HVT220" s="67"/>
      <c r="HVU220" s="31"/>
      <c r="HVV220" s="19"/>
      <c r="HVW220" s="67"/>
      <c r="HVX220" s="67"/>
      <c r="HVY220" s="31"/>
      <c r="HVZ220" s="19"/>
      <c r="HWA220" s="67"/>
      <c r="HWB220" s="67"/>
      <c r="HWC220" s="31"/>
      <c r="HWD220" s="19"/>
      <c r="HWE220" s="67"/>
      <c r="HWF220" s="67"/>
      <c r="HWG220" s="31"/>
      <c r="HWH220" s="19"/>
      <c r="HWI220" s="67"/>
      <c r="HWJ220" s="67"/>
      <c r="HWK220" s="31"/>
      <c r="HWL220" s="19"/>
      <c r="HWM220" s="67"/>
      <c r="HWN220" s="67"/>
      <c r="HWO220" s="31"/>
      <c r="HWP220" s="19"/>
      <c r="HWQ220" s="67"/>
      <c r="HWR220" s="67"/>
      <c r="HWS220" s="31"/>
      <c r="HWT220" s="19"/>
      <c r="HWU220" s="67"/>
      <c r="HWV220" s="67"/>
      <c r="HWW220" s="31"/>
      <c r="HWX220" s="19"/>
      <c r="HWY220" s="67"/>
      <c r="HWZ220" s="67"/>
      <c r="HXA220" s="31"/>
      <c r="HXB220" s="19"/>
      <c r="HXC220" s="67"/>
      <c r="HXD220" s="67"/>
      <c r="HXE220" s="31"/>
      <c r="HXF220" s="19"/>
      <c r="HXG220" s="67"/>
      <c r="HXH220" s="67"/>
      <c r="HXI220" s="31"/>
      <c r="HXJ220" s="19"/>
      <c r="HXK220" s="67"/>
      <c r="HXL220" s="67"/>
      <c r="HXM220" s="31"/>
      <c r="HXN220" s="19"/>
      <c r="HXO220" s="67"/>
      <c r="HXP220" s="67"/>
      <c r="HXQ220" s="31"/>
      <c r="HXR220" s="19"/>
      <c r="HXS220" s="67"/>
      <c r="HXT220" s="67"/>
      <c r="HXU220" s="31"/>
      <c r="HXV220" s="19"/>
      <c r="HXW220" s="67"/>
      <c r="HXX220" s="67"/>
      <c r="HXY220" s="31"/>
      <c r="HXZ220" s="19"/>
      <c r="HYA220" s="67"/>
      <c r="HYB220" s="67"/>
      <c r="HYC220" s="31"/>
      <c r="HYD220" s="19"/>
      <c r="HYE220" s="67"/>
      <c r="HYF220" s="67"/>
      <c r="HYG220" s="31"/>
      <c r="HYH220" s="19"/>
      <c r="HYI220" s="67"/>
      <c r="HYJ220" s="67"/>
      <c r="HYK220" s="31"/>
      <c r="HYL220" s="19"/>
      <c r="HYM220" s="67"/>
      <c r="HYN220" s="67"/>
      <c r="HYO220" s="31"/>
      <c r="HYP220" s="19"/>
      <c r="HYQ220" s="67"/>
      <c r="HYR220" s="67"/>
      <c r="HYS220" s="31"/>
      <c r="HYT220" s="19"/>
      <c r="HYU220" s="67"/>
      <c r="HYV220" s="67"/>
      <c r="HYW220" s="31"/>
      <c r="HYX220" s="19"/>
      <c r="HYY220" s="67"/>
      <c r="HYZ220" s="67"/>
      <c r="HZA220" s="31"/>
      <c r="HZB220" s="19"/>
      <c r="HZC220" s="67"/>
      <c r="HZD220" s="67"/>
      <c r="HZE220" s="31"/>
      <c r="HZF220" s="19"/>
      <c r="HZG220" s="67"/>
      <c r="HZH220" s="67"/>
      <c r="HZI220" s="31"/>
      <c r="HZJ220" s="19"/>
      <c r="HZK220" s="67"/>
      <c r="HZL220" s="67"/>
      <c r="HZM220" s="31"/>
      <c r="HZN220" s="19"/>
      <c r="HZO220" s="67"/>
      <c r="HZP220" s="67"/>
      <c r="HZQ220" s="31"/>
      <c r="HZR220" s="19"/>
      <c r="HZS220" s="67"/>
      <c r="HZT220" s="67"/>
      <c r="HZU220" s="31"/>
      <c r="HZV220" s="19"/>
      <c r="HZW220" s="67"/>
      <c r="HZX220" s="67"/>
      <c r="HZY220" s="31"/>
      <c r="HZZ220" s="19"/>
      <c r="IAA220" s="67"/>
      <c r="IAB220" s="67"/>
      <c r="IAC220" s="31"/>
      <c r="IAD220" s="19"/>
      <c r="IAE220" s="67"/>
      <c r="IAF220" s="67"/>
      <c r="IAG220" s="31"/>
      <c r="IAH220" s="19"/>
      <c r="IAI220" s="67"/>
      <c r="IAJ220" s="67"/>
      <c r="IAK220" s="31"/>
      <c r="IAL220" s="19"/>
      <c r="IAM220" s="67"/>
      <c r="IAN220" s="67"/>
      <c r="IAO220" s="31"/>
      <c r="IAP220" s="19"/>
      <c r="IAQ220" s="67"/>
      <c r="IAR220" s="67"/>
      <c r="IAS220" s="31"/>
      <c r="IAT220" s="19"/>
      <c r="IAU220" s="67"/>
      <c r="IAV220" s="67"/>
      <c r="IAW220" s="31"/>
      <c r="IAX220" s="19"/>
      <c r="IAY220" s="67"/>
      <c r="IAZ220" s="67"/>
      <c r="IBA220" s="31"/>
      <c r="IBB220" s="19"/>
      <c r="IBC220" s="67"/>
      <c r="IBD220" s="67"/>
      <c r="IBE220" s="31"/>
      <c r="IBF220" s="19"/>
      <c r="IBG220" s="67"/>
      <c r="IBH220" s="67"/>
      <c r="IBI220" s="31"/>
      <c r="IBJ220" s="19"/>
      <c r="IBK220" s="67"/>
      <c r="IBL220" s="67"/>
      <c r="IBM220" s="31"/>
      <c r="IBN220" s="19"/>
      <c r="IBO220" s="67"/>
      <c r="IBP220" s="67"/>
      <c r="IBQ220" s="31"/>
      <c r="IBR220" s="19"/>
      <c r="IBS220" s="67"/>
      <c r="IBT220" s="67"/>
      <c r="IBU220" s="31"/>
      <c r="IBV220" s="19"/>
      <c r="IBW220" s="67"/>
      <c r="IBX220" s="67"/>
      <c r="IBY220" s="31"/>
      <c r="IBZ220" s="19"/>
      <c r="ICA220" s="67"/>
      <c r="ICB220" s="67"/>
      <c r="ICC220" s="31"/>
      <c r="ICD220" s="19"/>
      <c r="ICE220" s="67"/>
      <c r="ICF220" s="67"/>
      <c r="ICG220" s="31"/>
      <c r="ICH220" s="19"/>
      <c r="ICI220" s="67"/>
      <c r="ICJ220" s="67"/>
      <c r="ICK220" s="31"/>
      <c r="ICL220" s="19"/>
      <c r="ICM220" s="67"/>
      <c r="ICN220" s="67"/>
      <c r="ICO220" s="31"/>
      <c r="ICP220" s="19"/>
      <c r="ICQ220" s="67"/>
      <c r="ICR220" s="67"/>
      <c r="ICS220" s="31"/>
      <c r="ICT220" s="19"/>
      <c r="ICU220" s="67"/>
      <c r="ICV220" s="67"/>
      <c r="ICW220" s="31"/>
      <c r="ICX220" s="19"/>
      <c r="ICY220" s="67"/>
      <c r="ICZ220" s="67"/>
      <c r="IDA220" s="31"/>
      <c r="IDB220" s="19"/>
      <c r="IDC220" s="67"/>
      <c r="IDD220" s="67"/>
      <c r="IDE220" s="31"/>
      <c r="IDF220" s="19"/>
      <c r="IDG220" s="67"/>
      <c r="IDH220" s="67"/>
      <c r="IDI220" s="31"/>
      <c r="IDJ220" s="19"/>
      <c r="IDK220" s="67"/>
      <c r="IDL220" s="67"/>
      <c r="IDM220" s="31"/>
      <c r="IDN220" s="19"/>
      <c r="IDO220" s="67"/>
      <c r="IDP220" s="67"/>
      <c r="IDQ220" s="31"/>
      <c r="IDR220" s="19"/>
      <c r="IDS220" s="67"/>
      <c r="IDT220" s="67"/>
      <c r="IDU220" s="31"/>
      <c r="IDV220" s="19"/>
      <c r="IDW220" s="67"/>
      <c r="IDX220" s="67"/>
      <c r="IDY220" s="31"/>
      <c r="IDZ220" s="19"/>
      <c r="IEA220" s="67"/>
      <c r="IEB220" s="67"/>
      <c r="IEC220" s="31"/>
      <c r="IED220" s="19"/>
      <c r="IEE220" s="67"/>
      <c r="IEF220" s="67"/>
      <c r="IEG220" s="31"/>
      <c r="IEH220" s="19"/>
      <c r="IEI220" s="67"/>
      <c r="IEJ220" s="67"/>
      <c r="IEK220" s="31"/>
      <c r="IEL220" s="19"/>
      <c r="IEM220" s="67"/>
      <c r="IEN220" s="67"/>
      <c r="IEO220" s="31"/>
      <c r="IEP220" s="19"/>
      <c r="IEQ220" s="67"/>
      <c r="IER220" s="67"/>
      <c r="IES220" s="31"/>
      <c r="IET220" s="19"/>
      <c r="IEU220" s="67"/>
      <c r="IEV220" s="67"/>
      <c r="IEW220" s="31"/>
      <c r="IEX220" s="19"/>
      <c r="IEY220" s="67"/>
      <c r="IEZ220" s="67"/>
      <c r="IFA220" s="31"/>
      <c r="IFB220" s="19"/>
      <c r="IFC220" s="67"/>
      <c r="IFD220" s="67"/>
      <c r="IFE220" s="31"/>
      <c r="IFF220" s="19"/>
      <c r="IFG220" s="67"/>
      <c r="IFH220" s="67"/>
      <c r="IFI220" s="31"/>
      <c r="IFJ220" s="19"/>
      <c r="IFK220" s="67"/>
      <c r="IFL220" s="67"/>
      <c r="IFM220" s="31"/>
      <c r="IFN220" s="19"/>
      <c r="IFO220" s="67"/>
      <c r="IFP220" s="67"/>
      <c r="IFQ220" s="31"/>
      <c r="IFR220" s="19"/>
      <c r="IFS220" s="67"/>
      <c r="IFT220" s="67"/>
      <c r="IFU220" s="31"/>
      <c r="IFV220" s="19"/>
      <c r="IFW220" s="67"/>
      <c r="IFX220" s="67"/>
      <c r="IFY220" s="31"/>
      <c r="IFZ220" s="19"/>
      <c r="IGA220" s="67"/>
      <c r="IGB220" s="67"/>
      <c r="IGC220" s="31"/>
      <c r="IGD220" s="19"/>
      <c r="IGE220" s="67"/>
      <c r="IGF220" s="67"/>
      <c r="IGG220" s="31"/>
      <c r="IGH220" s="19"/>
      <c r="IGI220" s="67"/>
      <c r="IGJ220" s="67"/>
      <c r="IGK220" s="31"/>
      <c r="IGL220" s="19"/>
      <c r="IGM220" s="67"/>
      <c r="IGN220" s="67"/>
      <c r="IGO220" s="31"/>
      <c r="IGP220" s="19"/>
      <c r="IGQ220" s="67"/>
      <c r="IGR220" s="67"/>
      <c r="IGS220" s="31"/>
      <c r="IGT220" s="19"/>
      <c r="IGU220" s="67"/>
      <c r="IGV220" s="67"/>
      <c r="IGW220" s="31"/>
      <c r="IGX220" s="19"/>
      <c r="IGY220" s="67"/>
      <c r="IGZ220" s="67"/>
      <c r="IHA220" s="31"/>
      <c r="IHB220" s="19"/>
      <c r="IHC220" s="67"/>
      <c r="IHD220" s="67"/>
      <c r="IHE220" s="31"/>
      <c r="IHF220" s="19"/>
      <c r="IHG220" s="67"/>
      <c r="IHH220" s="67"/>
      <c r="IHI220" s="31"/>
      <c r="IHJ220" s="19"/>
      <c r="IHK220" s="67"/>
      <c r="IHL220" s="67"/>
      <c r="IHM220" s="31"/>
      <c r="IHN220" s="19"/>
      <c r="IHO220" s="67"/>
      <c r="IHP220" s="67"/>
      <c r="IHQ220" s="31"/>
      <c r="IHR220" s="19"/>
      <c r="IHS220" s="67"/>
      <c r="IHT220" s="67"/>
      <c r="IHU220" s="31"/>
      <c r="IHV220" s="19"/>
      <c r="IHW220" s="67"/>
      <c r="IHX220" s="67"/>
      <c r="IHY220" s="31"/>
      <c r="IHZ220" s="19"/>
      <c r="IIA220" s="67"/>
      <c r="IIB220" s="67"/>
      <c r="IIC220" s="31"/>
      <c r="IID220" s="19"/>
      <c r="IIE220" s="67"/>
      <c r="IIF220" s="67"/>
      <c r="IIG220" s="31"/>
      <c r="IIH220" s="19"/>
      <c r="III220" s="67"/>
      <c r="IIJ220" s="67"/>
      <c r="IIK220" s="31"/>
      <c r="IIL220" s="19"/>
      <c r="IIM220" s="67"/>
      <c r="IIN220" s="67"/>
      <c r="IIO220" s="31"/>
      <c r="IIP220" s="19"/>
      <c r="IIQ220" s="67"/>
      <c r="IIR220" s="67"/>
      <c r="IIS220" s="31"/>
      <c r="IIT220" s="19"/>
      <c r="IIU220" s="67"/>
      <c r="IIV220" s="67"/>
      <c r="IIW220" s="31"/>
      <c r="IIX220" s="19"/>
      <c r="IIY220" s="67"/>
      <c r="IIZ220" s="67"/>
      <c r="IJA220" s="31"/>
      <c r="IJB220" s="19"/>
      <c r="IJC220" s="67"/>
      <c r="IJD220" s="67"/>
      <c r="IJE220" s="31"/>
      <c r="IJF220" s="19"/>
      <c r="IJG220" s="67"/>
      <c r="IJH220" s="67"/>
      <c r="IJI220" s="31"/>
      <c r="IJJ220" s="19"/>
      <c r="IJK220" s="67"/>
      <c r="IJL220" s="67"/>
      <c r="IJM220" s="31"/>
      <c r="IJN220" s="19"/>
      <c r="IJO220" s="67"/>
      <c r="IJP220" s="67"/>
      <c r="IJQ220" s="31"/>
      <c r="IJR220" s="19"/>
      <c r="IJS220" s="67"/>
      <c r="IJT220" s="67"/>
      <c r="IJU220" s="31"/>
      <c r="IJV220" s="19"/>
      <c r="IJW220" s="67"/>
      <c r="IJX220" s="67"/>
      <c r="IJY220" s="31"/>
      <c r="IJZ220" s="19"/>
      <c r="IKA220" s="67"/>
      <c r="IKB220" s="67"/>
      <c r="IKC220" s="31"/>
      <c r="IKD220" s="19"/>
      <c r="IKE220" s="67"/>
      <c r="IKF220" s="67"/>
      <c r="IKG220" s="31"/>
      <c r="IKH220" s="19"/>
      <c r="IKI220" s="67"/>
      <c r="IKJ220" s="67"/>
      <c r="IKK220" s="31"/>
      <c r="IKL220" s="19"/>
      <c r="IKM220" s="67"/>
      <c r="IKN220" s="67"/>
      <c r="IKO220" s="31"/>
      <c r="IKP220" s="19"/>
      <c r="IKQ220" s="67"/>
      <c r="IKR220" s="67"/>
      <c r="IKS220" s="31"/>
      <c r="IKT220" s="19"/>
      <c r="IKU220" s="67"/>
      <c r="IKV220" s="67"/>
      <c r="IKW220" s="31"/>
      <c r="IKX220" s="19"/>
      <c r="IKY220" s="67"/>
      <c r="IKZ220" s="67"/>
      <c r="ILA220" s="31"/>
      <c r="ILB220" s="19"/>
      <c r="ILC220" s="67"/>
      <c r="ILD220" s="67"/>
      <c r="ILE220" s="31"/>
      <c r="ILF220" s="19"/>
      <c r="ILG220" s="67"/>
      <c r="ILH220" s="67"/>
      <c r="ILI220" s="31"/>
      <c r="ILJ220" s="19"/>
      <c r="ILK220" s="67"/>
      <c r="ILL220" s="67"/>
      <c r="ILM220" s="31"/>
      <c r="ILN220" s="19"/>
      <c r="ILO220" s="67"/>
      <c r="ILP220" s="67"/>
      <c r="ILQ220" s="31"/>
      <c r="ILR220" s="19"/>
      <c r="ILS220" s="67"/>
      <c r="ILT220" s="67"/>
      <c r="ILU220" s="31"/>
      <c r="ILV220" s="19"/>
      <c r="ILW220" s="67"/>
      <c r="ILX220" s="67"/>
      <c r="ILY220" s="31"/>
      <c r="ILZ220" s="19"/>
      <c r="IMA220" s="67"/>
      <c r="IMB220" s="67"/>
      <c r="IMC220" s="31"/>
      <c r="IMD220" s="19"/>
      <c r="IME220" s="67"/>
      <c r="IMF220" s="67"/>
      <c r="IMG220" s="31"/>
      <c r="IMH220" s="19"/>
      <c r="IMI220" s="67"/>
      <c r="IMJ220" s="67"/>
      <c r="IMK220" s="31"/>
      <c r="IML220" s="19"/>
      <c r="IMM220" s="67"/>
      <c r="IMN220" s="67"/>
      <c r="IMO220" s="31"/>
      <c r="IMP220" s="19"/>
      <c r="IMQ220" s="67"/>
      <c r="IMR220" s="67"/>
      <c r="IMS220" s="31"/>
      <c r="IMT220" s="19"/>
      <c r="IMU220" s="67"/>
      <c r="IMV220" s="67"/>
      <c r="IMW220" s="31"/>
      <c r="IMX220" s="19"/>
      <c r="IMY220" s="67"/>
      <c r="IMZ220" s="67"/>
      <c r="INA220" s="31"/>
      <c r="INB220" s="19"/>
      <c r="INC220" s="67"/>
      <c r="IND220" s="67"/>
      <c r="INE220" s="31"/>
      <c r="INF220" s="19"/>
      <c r="ING220" s="67"/>
      <c r="INH220" s="67"/>
      <c r="INI220" s="31"/>
      <c r="INJ220" s="19"/>
      <c r="INK220" s="67"/>
      <c r="INL220" s="67"/>
      <c r="INM220" s="31"/>
      <c r="INN220" s="19"/>
      <c r="INO220" s="67"/>
      <c r="INP220" s="67"/>
      <c r="INQ220" s="31"/>
      <c r="INR220" s="19"/>
      <c r="INS220" s="67"/>
      <c r="INT220" s="67"/>
      <c r="INU220" s="31"/>
      <c r="INV220" s="19"/>
      <c r="INW220" s="67"/>
      <c r="INX220" s="67"/>
      <c r="INY220" s="31"/>
      <c r="INZ220" s="19"/>
      <c r="IOA220" s="67"/>
      <c r="IOB220" s="67"/>
      <c r="IOC220" s="31"/>
      <c r="IOD220" s="19"/>
      <c r="IOE220" s="67"/>
      <c r="IOF220" s="67"/>
      <c r="IOG220" s="31"/>
      <c r="IOH220" s="19"/>
      <c r="IOI220" s="67"/>
      <c r="IOJ220" s="67"/>
      <c r="IOK220" s="31"/>
      <c r="IOL220" s="19"/>
      <c r="IOM220" s="67"/>
      <c r="ION220" s="67"/>
      <c r="IOO220" s="31"/>
      <c r="IOP220" s="19"/>
      <c r="IOQ220" s="67"/>
      <c r="IOR220" s="67"/>
      <c r="IOS220" s="31"/>
      <c r="IOT220" s="19"/>
      <c r="IOU220" s="67"/>
      <c r="IOV220" s="67"/>
      <c r="IOW220" s="31"/>
      <c r="IOX220" s="19"/>
      <c r="IOY220" s="67"/>
      <c r="IOZ220" s="67"/>
      <c r="IPA220" s="31"/>
      <c r="IPB220" s="19"/>
      <c r="IPC220" s="67"/>
      <c r="IPD220" s="67"/>
      <c r="IPE220" s="31"/>
      <c r="IPF220" s="19"/>
      <c r="IPG220" s="67"/>
      <c r="IPH220" s="67"/>
      <c r="IPI220" s="31"/>
      <c r="IPJ220" s="19"/>
      <c r="IPK220" s="67"/>
      <c r="IPL220" s="67"/>
      <c r="IPM220" s="31"/>
      <c r="IPN220" s="19"/>
      <c r="IPO220" s="67"/>
      <c r="IPP220" s="67"/>
      <c r="IPQ220" s="31"/>
      <c r="IPR220" s="19"/>
      <c r="IPS220" s="67"/>
      <c r="IPT220" s="67"/>
      <c r="IPU220" s="31"/>
      <c r="IPV220" s="19"/>
      <c r="IPW220" s="67"/>
      <c r="IPX220" s="67"/>
      <c r="IPY220" s="31"/>
      <c r="IPZ220" s="19"/>
      <c r="IQA220" s="67"/>
      <c r="IQB220" s="67"/>
      <c r="IQC220" s="31"/>
      <c r="IQD220" s="19"/>
      <c r="IQE220" s="67"/>
      <c r="IQF220" s="67"/>
      <c r="IQG220" s="31"/>
      <c r="IQH220" s="19"/>
      <c r="IQI220" s="67"/>
      <c r="IQJ220" s="67"/>
      <c r="IQK220" s="31"/>
      <c r="IQL220" s="19"/>
      <c r="IQM220" s="67"/>
      <c r="IQN220" s="67"/>
      <c r="IQO220" s="31"/>
      <c r="IQP220" s="19"/>
      <c r="IQQ220" s="67"/>
      <c r="IQR220" s="67"/>
      <c r="IQS220" s="31"/>
      <c r="IQT220" s="19"/>
      <c r="IQU220" s="67"/>
      <c r="IQV220" s="67"/>
      <c r="IQW220" s="31"/>
      <c r="IQX220" s="19"/>
      <c r="IQY220" s="67"/>
      <c r="IQZ220" s="67"/>
      <c r="IRA220" s="31"/>
      <c r="IRB220" s="19"/>
      <c r="IRC220" s="67"/>
      <c r="IRD220" s="67"/>
      <c r="IRE220" s="31"/>
      <c r="IRF220" s="19"/>
      <c r="IRG220" s="67"/>
      <c r="IRH220" s="67"/>
      <c r="IRI220" s="31"/>
      <c r="IRJ220" s="19"/>
      <c r="IRK220" s="67"/>
      <c r="IRL220" s="67"/>
      <c r="IRM220" s="31"/>
      <c r="IRN220" s="19"/>
      <c r="IRO220" s="67"/>
      <c r="IRP220" s="67"/>
      <c r="IRQ220" s="31"/>
      <c r="IRR220" s="19"/>
      <c r="IRS220" s="67"/>
      <c r="IRT220" s="67"/>
      <c r="IRU220" s="31"/>
      <c r="IRV220" s="19"/>
      <c r="IRW220" s="67"/>
      <c r="IRX220" s="67"/>
      <c r="IRY220" s="31"/>
      <c r="IRZ220" s="19"/>
      <c r="ISA220" s="67"/>
      <c r="ISB220" s="67"/>
      <c r="ISC220" s="31"/>
      <c r="ISD220" s="19"/>
      <c r="ISE220" s="67"/>
      <c r="ISF220" s="67"/>
      <c r="ISG220" s="31"/>
      <c r="ISH220" s="19"/>
      <c r="ISI220" s="67"/>
      <c r="ISJ220" s="67"/>
      <c r="ISK220" s="31"/>
      <c r="ISL220" s="19"/>
      <c r="ISM220" s="67"/>
      <c r="ISN220" s="67"/>
      <c r="ISO220" s="31"/>
      <c r="ISP220" s="19"/>
      <c r="ISQ220" s="67"/>
      <c r="ISR220" s="67"/>
      <c r="ISS220" s="31"/>
      <c r="IST220" s="19"/>
      <c r="ISU220" s="67"/>
      <c r="ISV220" s="67"/>
      <c r="ISW220" s="31"/>
      <c r="ISX220" s="19"/>
      <c r="ISY220" s="67"/>
      <c r="ISZ220" s="67"/>
      <c r="ITA220" s="31"/>
      <c r="ITB220" s="19"/>
      <c r="ITC220" s="67"/>
      <c r="ITD220" s="67"/>
      <c r="ITE220" s="31"/>
      <c r="ITF220" s="19"/>
      <c r="ITG220" s="67"/>
      <c r="ITH220" s="67"/>
      <c r="ITI220" s="31"/>
      <c r="ITJ220" s="19"/>
      <c r="ITK220" s="67"/>
      <c r="ITL220" s="67"/>
      <c r="ITM220" s="31"/>
      <c r="ITN220" s="19"/>
      <c r="ITO220" s="67"/>
      <c r="ITP220" s="67"/>
      <c r="ITQ220" s="31"/>
      <c r="ITR220" s="19"/>
      <c r="ITS220" s="67"/>
      <c r="ITT220" s="67"/>
      <c r="ITU220" s="31"/>
      <c r="ITV220" s="19"/>
      <c r="ITW220" s="67"/>
      <c r="ITX220" s="67"/>
      <c r="ITY220" s="31"/>
      <c r="ITZ220" s="19"/>
      <c r="IUA220" s="67"/>
      <c r="IUB220" s="67"/>
      <c r="IUC220" s="31"/>
      <c r="IUD220" s="19"/>
      <c r="IUE220" s="67"/>
      <c r="IUF220" s="67"/>
      <c r="IUG220" s="31"/>
      <c r="IUH220" s="19"/>
      <c r="IUI220" s="67"/>
      <c r="IUJ220" s="67"/>
      <c r="IUK220" s="31"/>
      <c r="IUL220" s="19"/>
      <c r="IUM220" s="67"/>
      <c r="IUN220" s="67"/>
      <c r="IUO220" s="31"/>
      <c r="IUP220" s="19"/>
      <c r="IUQ220" s="67"/>
      <c r="IUR220" s="67"/>
      <c r="IUS220" s="31"/>
      <c r="IUT220" s="19"/>
      <c r="IUU220" s="67"/>
      <c r="IUV220" s="67"/>
      <c r="IUW220" s="31"/>
      <c r="IUX220" s="19"/>
      <c r="IUY220" s="67"/>
      <c r="IUZ220" s="67"/>
      <c r="IVA220" s="31"/>
      <c r="IVB220" s="19"/>
      <c r="IVC220" s="67"/>
      <c r="IVD220" s="67"/>
      <c r="IVE220" s="31"/>
      <c r="IVF220" s="19"/>
      <c r="IVG220" s="67"/>
      <c r="IVH220" s="67"/>
      <c r="IVI220" s="31"/>
      <c r="IVJ220" s="19"/>
      <c r="IVK220" s="67"/>
      <c r="IVL220" s="67"/>
      <c r="IVM220" s="31"/>
      <c r="IVN220" s="19"/>
      <c r="IVO220" s="67"/>
      <c r="IVP220" s="67"/>
      <c r="IVQ220" s="31"/>
      <c r="IVR220" s="19"/>
      <c r="IVS220" s="67"/>
      <c r="IVT220" s="67"/>
      <c r="IVU220" s="31"/>
      <c r="IVV220" s="19"/>
      <c r="IVW220" s="67"/>
      <c r="IVX220" s="67"/>
      <c r="IVY220" s="31"/>
      <c r="IVZ220" s="19"/>
      <c r="IWA220" s="67"/>
      <c r="IWB220" s="67"/>
      <c r="IWC220" s="31"/>
      <c r="IWD220" s="19"/>
      <c r="IWE220" s="67"/>
      <c r="IWF220" s="67"/>
      <c r="IWG220" s="31"/>
      <c r="IWH220" s="19"/>
      <c r="IWI220" s="67"/>
      <c r="IWJ220" s="67"/>
      <c r="IWK220" s="31"/>
      <c r="IWL220" s="19"/>
      <c r="IWM220" s="67"/>
      <c r="IWN220" s="67"/>
      <c r="IWO220" s="31"/>
      <c r="IWP220" s="19"/>
      <c r="IWQ220" s="67"/>
      <c r="IWR220" s="67"/>
      <c r="IWS220" s="31"/>
      <c r="IWT220" s="19"/>
      <c r="IWU220" s="67"/>
      <c r="IWV220" s="67"/>
      <c r="IWW220" s="31"/>
      <c r="IWX220" s="19"/>
      <c r="IWY220" s="67"/>
      <c r="IWZ220" s="67"/>
      <c r="IXA220" s="31"/>
      <c r="IXB220" s="19"/>
      <c r="IXC220" s="67"/>
      <c r="IXD220" s="67"/>
      <c r="IXE220" s="31"/>
      <c r="IXF220" s="19"/>
      <c r="IXG220" s="67"/>
      <c r="IXH220" s="67"/>
      <c r="IXI220" s="31"/>
      <c r="IXJ220" s="19"/>
      <c r="IXK220" s="67"/>
      <c r="IXL220" s="67"/>
      <c r="IXM220" s="31"/>
      <c r="IXN220" s="19"/>
      <c r="IXO220" s="67"/>
      <c r="IXP220" s="67"/>
      <c r="IXQ220" s="31"/>
      <c r="IXR220" s="19"/>
      <c r="IXS220" s="67"/>
      <c r="IXT220" s="67"/>
      <c r="IXU220" s="31"/>
      <c r="IXV220" s="19"/>
      <c r="IXW220" s="67"/>
      <c r="IXX220" s="67"/>
      <c r="IXY220" s="31"/>
      <c r="IXZ220" s="19"/>
      <c r="IYA220" s="67"/>
      <c r="IYB220" s="67"/>
      <c r="IYC220" s="31"/>
      <c r="IYD220" s="19"/>
      <c r="IYE220" s="67"/>
      <c r="IYF220" s="67"/>
      <c r="IYG220" s="31"/>
      <c r="IYH220" s="19"/>
      <c r="IYI220" s="67"/>
      <c r="IYJ220" s="67"/>
      <c r="IYK220" s="31"/>
      <c r="IYL220" s="19"/>
      <c r="IYM220" s="67"/>
      <c r="IYN220" s="67"/>
      <c r="IYO220" s="31"/>
      <c r="IYP220" s="19"/>
      <c r="IYQ220" s="67"/>
      <c r="IYR220" s="67"/>
      <c r="IYS220" s="31"/>
      <c r="IYT220" s="19"/>
      <c r="IYU220" s="67"/>
      <c r="IYV220" s="67"/>
      <c r="IYW220" s="31"/>
      <c r="IYX220" s="19"/>
      <c r="IYY220" s="67"/>
      <c r="IYZ220" s="67"/>
      <c r="IZA220" s="31"/>
      <c r="IZB220" s="19"/>
      <c r="IZC220" s="67"/>
      <c r="IZD220" s="67"/>
      <c r="IZE220" s="31"/>
      <c r="IZF220" s="19"/>
      <c r="IZG220" s="67"/>
      <c r="IZH220" s="67"/>
      <c r="IZI220" s="31"/>
      <c r="IZJ220" s="19"/>
      <c r="IZK220" s="67"/>
      <c r="IZL220" s="67"/>
      <c r="IZM220" s="31"/>
      <c r="IZN220" s="19"/>
      <c r="IZO220" s="67"/>
      <c r="IZP220" s="67"/>
      <c r="IZQ220" s="31"/>
      <c r="IZR220" s="19"/>
      <c r="IZS220" s="67"/>
      <c r="IZT220" s="67"/>
      <c r="IZU220" s="31"/>
      <c r="IZV220" s="19"/>
      <c r="IZW220" s="67"/>
      <c r="IZX220" s="67"/>
      <c r="IZY220" s="31"/>
      <c r="IZZ220" s="19"/>
      <c r="JAA220" s="67"/>
      <c r="JAB220" s="67"/>
      <c r="JAC220" s="31"/>
      <c r="JAD220" s="19"/>
      <c r="JAE220" s="67"/>
      <c r="JAF220" s="67"/>
      <c r="JAG220" s="31"/>
      <c r="JAH220" s="19"/>
      <c r="JAI220" s="67"/>
      <c r="JAJ220" s="67"/>
      <c r="JAK220" s="31"/>
      <c r="JAL220" s="19"/>
      <c r="JAM220" s="67"/>
      <c r="JAN220" s="67"/>
      <c r="JAO220" s="31"/>
      <c r="JAP220" s="19"/>
      <c r="JAQ220" s="67"/>
      <c r="JAR220" s="67"/>
      <c r="JAS220" s="31"/>
      <c r="JAT220" s="19"/>
      <c r="JAU220" s="67"/>
      <c r="JAV220" s="67"/>
      <c r="JAW220" s="31"/>
      <c r="JAX220" s="19"/>
      <c r="JAY220" s="67"/>
      <c r="JAZ220" s="67"/>
      <c r="JBA220" s="31"/>
      <c r="JBB220" s="19"/>
      <c r="JBC220" s="67"/>
      <c r="JBD220" s="67"/>
      <c r="JBE220" s="31"/>
      <c r="JBF220" s="19"/>
      <c r="JBG220" s="67"/>
      <c r="JBH220" s="67"/>
      <c r="JBI220" s="31"/>
      <c r="JBJ220" s="19"/>
      <c r="JBK220" s="67"/>
      <c r="JBL220" s="67"/>
      <c r="JBM220" s="31"/>
      <c r="JBN220" s="19"/>
      <c r="JBO220" s="67"/>
      <c r="JBP220" s="67"/>
      <c r="JBQ220" s="31"/>
      <c r="JBR220" s="19"/>
      <c r="JBS220" s="67"/>
      <c r="JBT220" s="67"/>
      <c r="JBU220" s="31"/>
      <c r="JBV220" s="19"/>
      <c r="JBW220" s="67"/>
      <c r="JBX220" s="67"/>
      <c r="JBY220" s="31"/>
      <c r="JBZ220" s="19"/>
      <c r="JCA220" s="67"/>
      <c r="JCB220" s="67"/>
      <c r="JCC220" s="31"/>
      <c r="JCD220" s="19"/>
      <c r="JCE220" s="67"/>
      <c r="JCF220" s="67"/>
      <c r="JCG220" s="31"/>
      <c r="JCH220" s="19"/>
      <c r="JCI220" s="67"/>
      <c r="JCJ220" s="67"/>
      <c r="JCK220" s="31"/>
      <c r="JCL220" s="19"/>
      <c r="JCM220" s="67"/>
      <c r="JCN220" s="67"/>
      <c r="JCO220" s="31"/>
      <c r="JCP220" s="19"/>
      <c r="JCQ220" s="67"/>
      <c r="JCR220" s="67"/>
      <c r="JCS220" s="31"/>
      <c r="JCT220" s="19"/>
      <c r="JCU220" s="67"/>
      <c r="JCV220" s="67"/>
      <c r="JCW220" s="31"/>
      <c r="JCX220" s="19"/>
      <c r="JCY220" s="67"/>
      <c r="JCZ220" s="67"/>
      <c r="JDA220" s="31"/>
      <c r="JDB220" s="19"/>
      <c r="JDC220" s="67"/>
      <c r="JDD220" s="67"/>
      <c r="JDE220" s="31"/>
      <c r="JDF220" s="19"/>
      <c r="JDG220" s="67"/>
      <c r="JDH220" s="67"/>
      <c r="JDI220" s="31"/>
      <c r="JDJ220" s="19"/>
      <c r="JDK220" s="67"/>
      <c r="JDL220" s="67"/>
      <c r="JDM220" s="31"/>
      <c r="JDN220" s="19"/>
      <c r="JDO220" s="67"/>
      <c r="JDP220" s="67"/>
      <c r="JDQ220" s="31"/>
      <c r="JDR220" s="19"/>
      <c r="JDS220" s="67"/>
      <c r="JDT220" s="67"/>
      <c r="JDU220" s="31"/>
      <c r="JDV220" s="19"/>
      <c r="JDW220" s="67"/>
      <c r="JDX220" s="67"/>
      <c r="JDY220" s="31"/>
      <c r="JDZ220" s="19"/>
      <c r="JEA220" s="67"/>
      <c r="JEB220" s="67"/>
      <c r="JEC220" s="31"/>
      <c r="JED220" s="19"/>
      <c r="JEE220" s="67"/>
      <c r="JEF220" s="67"/>
      <c r="JEG220" s="31"/>
      <c r="JEH220" s="19"/>
      <c r="JEI220" s="67"/>
      <c r="JEJ220" s="67"/>
      <c r="JEK220" s="31"/>
      <c r="JEL220" s="19"/>
      <c r="JEM220" s="67"/>
      <c r="JEN220" s="67"/>
      <c r="JEO220" s="31"/>
      <c r="JEP220" s="19"/>
      <c r="JEQ220" s="67"/>
      <c r="JER220" s="67"/>
      <c r="JES220" s="31"/>
      <c r="JET220" s="19"/>
      <c r="JEU220" s="67"/>
      <c r="JEV220" s="67"/>
      <c r="JEW220" s="31"/>
      <c r="JEX220" s="19"/>
      <c r="JEY220" s="67"/>
      <c r="JEZ220" s="67"/>
      <c r="JFA220" s="31"/>
      <c r="JFB220" s="19"/>
      <c r="JFC220" s="67"/>
      <c r="JFD220" s="67"/>
      <c r="JFE220" s="31"/>
      <c r="JFF220" s="19"/>
      <c r="JFG220" s="67"/>
      <c r="JFH220" s="67"/>
      <c r="JFI220" s="31"/>
      <c r="JFJ220" s="19"/>
      <c r="JFK220" s="67"/>
      <c r="JFL220" s="67"/>
      <c r="JFM220" s="31"/>
      <c r="JFN220" s="19"/>
      <c r="JFO220" s="67"/>
      <c r="JFP220" s="67"/>
      <c r="JFQ220" s="31"/>
      <c r="JFR220" s="19"/>
      <c r="JFS220" s="67"/>
      <c r="JFT220" s="67"/>
      <c r="JFU220" s="31"/>
      <c r="JFV220" s="19"/>
      <c r="JFW220" s="67"/>
      <c r="JFX220" s="67"/>
      <c r="JFY220" s="31"/>
      <c r="JFZ220" s="19"/>
      <c r="JGA220" s="67"/>
      <c r="JGB220" s="67"/>
      <c r="JGC220" s="31"/>
      <c r="JGD220" s="19"/>
      <c r="JGE220" s="67"/>
      <c r="JGF220" s="67"/>
      <c r="JGG220" s="31"/>
      <c r="JGH220" s="19"/>
      <c r="JGI220" s="67"/>
      <c r="JGJ220" s="67"/>
      <c r="JGK220" s="31"/>
      <c r="JGL220" s="19"/>
      <c r="JGM220" s="67"/>
      <c r="JGN220" s="67"/>
      <c r="JGO220" s="31"/>
      <c r="JGP220" s="19"/>
      <c r="JGQ220" s="67"/>
      <c r="JGR220" s="67"/>
      <c r="JGS220" s="31"/>
      <c r="JGT220" s="19"/>
      <c r="JGU220" s="67"/>
      <c r="JGV220" s="67"/>
      <c r="JGW220" s="31"/>
      <c r="JGX220" s="19"/>
      <c r="JGY220" s="67"/>
      <c r="JGZ220" s="67"/>
      <c r="JHA220" s="31"/>
      <c r="JHB220" s="19"/>
      <c r="JHC220" s="67"/>
      <c r="JHD220" s="67"/>
      <c r="JHE220" s="31"/>
      <c r="JHF220" s="19"/>
      <c r="JHG220" s="67"/>
      <c r="JHH220" s="67"/>
      <c r="JHI220" s="31"/>
      <c r="JHJ220" s="19"/>
      <c r="JHK220" s="67"/>
      <c r="JHL220" s="67"/>
      <c r="JHM220" s="31"/>
      <c r="JHN220" s="19"/>
      <c r="JHO220" s="67"/>
      <c r="JHP220" s="67"/>
      <c r="JHQ220" s="31"/>
      <c r="JHR220" s="19"/>
      <c r="JHS220" s="67"/>
      <c r="JHT220" s="67"/>
      <c r="JHU220" s="31"/>
      <c r="JHV220" s="19"/>
      <c r="JHW220" s="67"/>
      <c r="JHX220" s="67"/>
      <c r="JHY220" s="31"/>
      <c r="JHZ220" s="19"/>
      <c r="JIA220" s="67"/>
      <c r="JIB220" s="67"/>
      <c r="JIC220" s="31"/>
      <c r="JID220" s="19"/>
      <c r="JIE220" s="67"/>
      <c r="JIF220" s="67"/>
      <c r="JIG220" s="31"/>
      <c r="JIH220" s="19"/>
      <c r="JII220" s="67"/>
      <c r="JIJ220" s="67"/>
      <c r="JIK220" s="31"/>
      <c r="JIL220" s="19"/>
      <c r="JIM220" s="67"/>
      <c r="JIN220" s="67"/>
      <c r="JIO220" s="31"/>
      <c r="JIP220" s="19"/>
      <c r="JIQ220" s="67"/>
      <c r="JIR220" s="67"/>
      <c r="JIS220" s="31"/>
      <c r="JIT220" s="19"/>
      <c r="JIU220" s="67"/>
      <c r="JIV220" s="67"/>
      <c r="JIW220" s="31"/>
      <c r="JIX220" s="19"/>
      <c r="JIY220" s="67"/>
      <c r="JIZ220" s="67"/>
      <c r="JJA220" s="31"/>
      <c r="JJB220" s="19"/>
      <c r="JJC220" s="67"/>
      <c r="JJD220" s="67"/>
      <c r="JJE220" s="31"/>
      <c r="JJF220" s="19"/>
      <c r="JJG220" s="67"/>
      <c r="JJH220" s="67"/>
      <c r="JJI220" s="31"/>
      <c r="JJJ220" s="19"/>
      <c r="JJK220" s="67"/>
      <c r="JJL220" s="67"/>
      <c r="JJM220" s="31"/>
      <c r="JJN220" s="19"/>
      <c r="JJO220" s="67"/>
      <c r="JJP220" s="67"/>
      <c r="JJQ220" s="31"/>
      <c r="JJR220" s="19"/>
      <c r="JJS220" s="67"/>
      <c r="JJT220" s="67"/>
      <c r="JJU220" s="31"/>
      <c r="JJV220" s="19"/>
      <c r="JJW220" s="67"/>
      <c r="JJX220" s="67"/>
      <c r="JJY220" s="31"/>
      <c r="JJZ220" s="19"/>
      <c r="JKA220" s="67"/>
      <c r="JKB220" s="67"/>
      <c r="JKC220" s="31"/>
      <c r="JKD220" s="19"/>
      <c r="JKE220" s="67"/>
      <c r="JKF220" s="67"/>
      <c r="JKG220" s="31"/>
      <c r="JKH220" s="19"/>
      <c r="JKI220" s="67"/>
      <c r="JKJ220" s="67"/>
      <c r="JKK220" s="31"/>
      <c r="JKL220" s="19"/>
      <c r="JKM220" s="67"/>
      <c r="JKN220" s="67"/>
      <c r="JKO220" s="31"/>
      <c r="JKP220" s="19"/>
      <c r="JKQ220" s="67"/>
      <c r="JKR220" s="67"/>
      <c r="JKS220" s="31"/>
      <c r="JKT220" s="19"/>
      <c r="JKU220" s="67"/>
      <c r="JKV220" s="67"/>
      <c r="JKW220" s="31"/>
      <c r="JKX220" s="19"/>
      <c r="JKY220" s="67"/>
      <c r="JKZ220" s="67"/>
      <c r="JLA220" s="31"/>
      <c r="JLB220" s="19"/>
      <c r="JLC220" s="67"/>
      <c r="JLD220" s="67"/>
      <c r="JLE220" s="31"/>
      <c r="JLF220" s="19"/>
      <c r="JLG220" s="67"/>
      <c r="JLH220" s="67"/>
      <c r="JLI220" s="31"/>
      <c r="JLJ220" s="19"/>
      <c r="JLK220" s="67"/>
      <c r="JLL220" s="67"/>
      <c r="JLM220" s="31"/>
      <c r="JLN220" s="19"/>
      <c r="JLO220" s="67"/>
      <c r="JLP220" s="67"/>
      <c r="JLQ220" s="31"/>
      <c r="JLR220" s="19"/>
      <c r="JLS220" s="67"/>
      <c r="JLT220" s="67"/>
      <c r="JLU220" s="31"/>
      <c r="JLV220" s="19"/>
      <c r="JLW220" s="67"/>
      <c r="JLX220" s="67"/>
      <c r="JLY220" s="31"/>
      <c r="JLZ220" s="19"/>
      <c r="JMA220" s="67"/>
      <c r="JMB220" s="67"/>
      <c r="JMC220" s="31"/>
      <c r="JMD220" s="19"/>
      <c r="JME220" s="67"/>
      <c r="JMF220" s="67"/>
      <c r="JMG220" s="31"/>
      <c r="JMH220" s="19"/>
      <c r="JMI220" s="67"/>
      <c r="JMJ220" s="67"/>
      <c r="JMK220" s="31"/>
      <c r="JML220" s="19"/>
      <c r="JMM220" s="67"/>
      <c r="JMN220" s="67"/>
      <c r="JMO220" s="31"/>
      <c r="JMP220" s="19"/>
      <c r="JMQ220" s="67"/>
      <c r="JMR220" s="67"/>
      <c r="JMS220" s="31"/>
      <c r="JMT220" s="19"/>
      <c r="JMU220" s="67"/>
      <c r="JMV220" s="67"/>
      <c r="JMW220" s="31"/>
      <c r="JMX220" s="19"/>
      <c r="JMY220" s="67"/>
      <c r="JMZ220" s="67"/>
      <c r="JNA220" s="31"/>
      <c r="JNB220" s="19"/>
      <c r="JNC220" s="67"/>
      <c r="JND220" s="67"/>
      <c r="JNE220" s="31"/>
      <c r="JNF220" s="19"/>
      <c r="JNG220" s="67"/>
      <c r="JNH220" s="67"/>
      <c r="JNI220" s="31"/>
      <c r="JNJ220" s="19"/>
      <c r="JNK220" s="67"/>
      <c r="JNL220" s="67"/>
      <c r="JNM220" s="31"/>
      <c r="JNN220" s="19"/>
      <c r="JNO220" s="67"/>
      <c r="JNP220" s="67"/>
      <c r="JNQ220" s="31"/>
      <c r="JNR220" s="19"/>
      <c r="JNS220" s="67"/>
      <c r="JNT220" s="67"/>
      <c r="JNU220" s="31"/>
      <c r="JNV220" s="19"/>
      <c r="JNW220" s="67"/>
      <c r="JNX220" s="67"/>
      <c r="JNY220" s="31"/>
      <c r="JNZ220" s="19"/>
      <c r="JOA220" s="67"/>
      <c r="JOB220" s="67"/>
      <c r="JOC220" s="31"/>
      <c r="JOD220" s="19"/>
      <c r="JOE220" s="67"/>
      <c r="JOF220" s="67"/>
      <c r="JOG220" s="31"/>
      <c r="JOH220" s="19"/>
      <c r="JOI220" s="67"/>
      <c r="JOJ220" s="67"/>
      <c r="JOK220" s="31"/>
      <c r="JOL220" s="19"/>
      <c r="JOM220" s="67"/>
      <c r="JON220" s="67"/>
      <c r="JOO220" s="31"/>
      <c r="JOP220" s="19"/>
      <c r="JOQ220" s="67"/>
      <c r="JOR220" s="67"/>
      <c r="JOS220" s="31"/>
      <c r="JOT220" s="19"/>
      <c r="JOU220" s="67"/>
      <c r="JOV220" s="67"/>
      <c r="JOW220" s="31"/>
      <c r="JOX220" s="19"/>
      <c r="JOY220" s="67"/>
      <c r="JOZ220" s="67"/>
      <c r="JPA220" s="31"/>
      <c r="JPB220" s="19"/>
      <c r="JPC220" s="67"/>
      <c r="JPD220" s="67"/>
      <c r="JPE220" s="31"/>
      <c r="JPF220" s="19"/>
      <c r="JPG220" s="67"/>
      <c r="JPH220" s="67"/>
      <c r="JPI220" s="31"/>
      <c r="JPJ220" s="19"/>
      <c r="JPK220" s="67"/>
      <c r="JPL220" s="67"/>
      <c r="JPM220" s="31"/>
      <c r="JPN220" s="19"/>
      <c r="JPO220" s="67"/>
      <c r="JPP220" s="67"/>
      <c r="JPQ220" s="31"/>
      <c r="JPR220" s="19"/>
      <c r="JPS220" s="67"/>
      <c r="JPT220" s="67"/>
      <c r="JPU220" s="31"/>
      <c r="JPV220" s="19"/>
      <c r="JPW220" s="67"/>
      <c r="JPX220" s="67"/>
      <c r="JPY220" s="31"/>
      <c r="JPZ220" s="19"/>
      <c r="JQA220" s="67"/>
      <c r="JQB220" s="67"/>
      <c r="JQC220" s="31"/>
      <c r="JQD220" s="19"/>
      <c r="JQE220" s="67"/>
      <c r="JQF220" s="67"/>
      <c r="JQG220" s="31"/>
      <c r="JQH220" s="19"/>
      <c r="JQI220" s="67"/>
      <c r="JQJ220" s="67"/>
      <c r="JQK220" s="31"/>
      <c r="JQL220" s="19"/>
      <c r="JQM220" s="67"/>
      <c r="JQN220" s="67"/>
      <c r="JQO220" s="31"/>
      <c r="JQP220" s="19"/>
      <c r="JQQ220" s="67"/>
      <c r="JQR220" s="67"/>
      <c r="JQS220" s="31"/>
      <c r="JQT220" s="19"/>
      <c r="JQU220" s="67"/>
      <c r="JQV220" s="67"/>
      <c r="JQW220" s="31"/>
      <c r="JQX220" s="19"/>
      <c r="JQY220" s="67"/>
      <c r="JQZ220" s="67"/>
      <c r="JRA220" s="31"/>
      <c r="JRB220" s="19"/>
      <c r="JRC220" s="67"/>
      <c r="JRD220" s="67"/>
      <c r="JRE220" s="31"/>
      <c r="JRF220" s="19"/>
      <c r="JRG220" s="67"/>
      <c r="JRH220" s="67"/>
      <c r="JRI220" s="31"/>
      <c r="JRJ220" s="19"/>
      <c r="JRK220" s="67"/>
      <c r="JRL220" s="67"/>
      <c r="JRM220" s="31"/>
      <c r="JRN220" s="19"/>
      <c r="JRO220" s="67"/>
      <c r="JRP220" s="67"/>
      <c r="JRQ220" s="31"/>
      <c r="JRR220" s="19"/>
      <c r="JRS220" s="67"/>
      <c r="JRT220" s="67"/>
      <c r="JRU220" s="31"/>
      <c r="JRV220" s="19"/>
      <c r="JRW220" s="67"/>
      <c r="JRX220" s="67"/>
      <c r="JRY220" s="31"/>
      <c r="JRZ220" s="19"/>
      <c r="JSA220" s="67"/>
      <c r="JSB220" s="67"/>
      <c r="JSC220" s="31"/>
      <c r="JSD220" s="19"/>
      <c r="JSE220" s="67"/>
      <c r="JSF220" s="67"/>
      <c r="JSG220" s="31"/>
      <c r="JSH220" s="19"/>
      <c r="JSI220" s="67"/>
      <c r="JSJ220" s="67"/>
      <c r="JSK220" s="31"/>
      <c r="JSL220" s="19"/>
      <c r="JSM220" s="67"/>
      <c r="JSN220" s="67"/>
      <c r="JSO220" s="31"/>
      <c r="JSP220" s="19"/>
      <c r="JSQ220" s="67"/>
      <c r="JSR220" s="67"/>
      <c r="JSS220" s="31"/>
      <c r="JST220" s="19"/>
      <c r="JSU220" s="67"/>
      <c r="JSV220" s="67"/>
      <c r="JSW220" s="31"/>
      <c r="JSX220" s="19"/>
      <c r="JSY220" s="67"/>
      <c r="JSZ220" s="67"/>
      <c r="JTA220" s="31"/>
      <c r="JTB220" s="19"/>
      <c r="JTC220" s="67"/>
      <c r="JTD220" s="67"/>
      <c r="JTE220" s="31"/>
      <c r="JTF220" s="19"/>
      <c r="JTG220" s="67"/>
      <c r="JTH220" s="67"/>
      <c r="JTI220" s="31"/>
      <c r="JTJ220" s="19"/>
      <c r="JTK220" s="67"/>
      <c r="JTL220" s="67"/>
      <c r="JTM220" s="31"/>
      <c r="JTN220" s="19"/>
      <c r="JTO220" s="67"/>
      <c r="JTP220" s="67"/>
      <c r="JTQ220" s="31"/>
      <c r="JTR220" s="19"/>
      <c r="JTS220" s="67"/>
      <c r="JTT220" s="67"/>
      <c r="JTU220" s="31"/>
      <c r="JTV220" s="19"/>
      <c r="JTW220" s="67"/>
      <c r="JTX220" s="67"/>
      <c r="JTY220" s="31"/>
      <c r="JTZ220" s="19"/>
      <c r="JUA220" s="67"/>
      <c r="JUB220" s="67"/>
      <c r="JUC220" s="31"/>
      <c r="JUD220" s="19"/>
      <c r="JUE220" s="67"/>
      <c r="JUF220" s="67"/>
      <c r="JUG220" s="31"/>
      <c r="JUH220" s="19"/>
      <c r="JUI220" s="67"/>
      <c r="JUJ220" s="67"/>
      <c r="JUK220" s="31"/>
      <c r="JUL220" s="19"/>
      <c r="JUM220" s="67"/>
      <c r="JUN220" s="67"/>
      <c r="JUO220" s="31"/>
      <c r="JUP220" s="19"/>
      <c r="JUQ220" s="67"/>
      <c r="JUR220" s="67"/>
      <c r="JUS220" s="31"/>
      <c r="JUT220" s="19"/>
      <c r="JUU220" s="67"/>
      <c r="JUV220" s="67"/>
      <c r="JUW220" s="31"/>
      <c r="JUX220" s="19"/>
      <c r="JUY220" s="67"/>
      <c r="JUZ220" s="67"/>
      <c r="JVA220" s="31"/>
      <c r="JVB220" s="19"/>
      <c r="JVC220" s="67"/>
      <c r="JVD220" s="67"/>
      <c r="JVE220" s="31"/>
      <c r="JVF220" s="19"/>
      <c r="JVG220" s="67"/>
      <c r="JVH220" s="67"/>
      <c r="JVI220" s="31"/>
      <c r="JVJ220" s="19"/>
      <c r="JVK220" s="67"/>
      <c r="JVL220" s="67"/>
      <c r="JVM220" s="31"/>
      <c r="JVN220" s="19"/>
      <c r="JVO220" s="67"/>
      <c r="JVP220" s="67"/>
      <c r="JVQ220" s="31"/>
      <c r="JVR220" s="19"/>
      <c r="JVS220" s="67"/>
      <c r="JVT220" s="67"/>
      <c r="JVU220" s="31"/>
      <c r="JVV220" s="19"/>
      <c r="JVW220" s="67"/>
      <c r="JVX220" s="67"/>
      <c r="JVY220" s="31"/>
      <c r="JVZ220" s="19"/>
      <c r="JWA220" s="67"/>
      <c r="JWB220" s="67"/>
      <c r="JWC220" s="31"/>
      <c r="JWD220" s="19"/>
      <c r="JWE220" s="67"/>
      <c r="JWF220" s="67"/>
      <c r="JWG220" s="31"/>
      <c r="JWH220" s="19"/>
      <c r="JWI220" s="67"/>
      <c r="JWJ220" s="67"/>
      <c r="JWK220" s="31"/>
      <c r="JWL220" s="19"/>
      <c r="JWM220" s="67"/>
      <c r="JWN220" s="67"/>
      <c r="JWO220" s="31"/>
      <c r="JWP220" s="19"/>
      <c r="JWQ220" s="67"/>
      <c r="JWR220" s="67"/>
      <c r="JWS220" s="31"/>
      <c r="JWT220" s="19"/>
      <c r="JWU220" s="67"/>
      <c r="JWV220" s="67"/>
      <c r="JWW220" s="31"/>
      <c r="JWX220" s="19"/>
      <c r="JWY220" s="67"/>
      <c r="JWZ220" s="67"/>
      <c r="JXA220" s="31"/>
      <c r="JXB220" s="19"/>
      <c r="JXC220" s="67"/>
      <c r="JXD220" s="67"/>
      <c r="JXE220" s="31"/>
      <c r="JXF220" s="19"/>
      <c r="JXG220" s="67"/>
      <c r="JXH220" s="67"/>
      <c r="JXI220" s="31"/>
      <c r="JXJ220" s="19"/>
      <c r="JXK220" s="67"/>
      <c r="JXL220" s="67"/>
      <c r="JXM220" s="31"/>
      <c r="JXN220" s="19"/>
      <c r="JXO220" s="67"/>
      <c r="JXP220" s="67"/>
      <c r="JXQ220" s="31"/>
      <c r="JXR220" s="19"/>
      <c r="JXS220" s="67"/>
      <c r="JXT220" s="67"/>
      <c r="JXU220" s="31"/>
      <c r="JXV220" s="19"/>
      <c r="JXW220" s="67"/>
      <c r="JXX220" s="67"/>
      <c r="JXY220" s="31"/>
      <c r="JXZ220" s="19"/>
      <c r="JYA220" s="67"/>
      <c r="JYB220" s="67"/>
      <c r="JYC220" s="31"/>
      <c r="JYD220" s="19"/>
      <c r="JYE220" s="67"/>
      <c r="JYF220" s="67"/>
      <c r="JYG220" s="31"/>
      <c r="JYH220" s="19"/>
      <c r="JYI220" s="67"/>
      <c r="JYJ220" s="67"/>
      <c r="JYK220" s="31"/>
      <c r="JYL220" s="19"/>
      <c r="JYM220" s="67"/>
      <c r="JYN220" s="67"/>
      <c r="JYO220" s="31"/>
      <c r="JYP220" s="19"/>
      <c r="JYQ220" s="67"/>
      <c r="JYR220" s="67"/>
      <c r="JYS220" s="31"/>
      <c r="JYT220" s="19"/>
      <c r="JYU220" s="67"/>
      <c r="JYV220" s="67"/>
      <c r="JYW220" s="31"/>
      <c r="JYX220" s="19"/>
      <c r="JYY220" s="67"/>
      <c r="JYZ220" s="67"/>
      <c r="JZA220" s="31"/>
      <c r="JZB220" s="19"/>
      <c r="JZC220" s="67"/>
      <c r="JZD220" s="67"/>
      <c r="JZE220" s="31"/>
      <c r="JZF220" s="19"/>
      <c r="JZG220" s="67"/>
      <c r="JZH220" s="67"/>
      <c r="JZI220" s="31"/>
      <c r="JZJ220" s="19"/>
      <c r="JZK220" s="67"/>
      <c r="JZL220" s="67"/>
      <c r="JZM220" s="31"/>
      <c r="JZN220" s="19"/>
      <c r="JZO220" s="67"/>
      <c r="JZP220" s="67"/>
      <c r="JZQ220" s="31"/>
      <c r="JZR220" s="19"/>
      <c r="JZS220" s="67"/>
      <c r="JZT220" s="67"/>
      <c r="JZU220" s="31"/>
      <c r="JZV220" s="19"/>
      <c r="JZW220" s="67"/>
      <c r="JZX220" s="67"/>
      <c r="JZY220" s="31"/>
      <c r="JZZ220" s="19"/>
      <c r="KAA220" s="67"/>
      <c r="KAB220" s="67"/>
      <c r="KAC220" s="31"/>
      <c r="KAD220" s="19"/>
      <c r="KAE220" s="67"/>
      <c r="KAF220" s="67"/>
      <c r="KAG220" s="31"/>
      <c r="KAH220" s="19"/>
      <c r="KAI220" s="67"/>
      <c r="KAJ220" s="67"/>
      <c r="KAK220" s="31"/>
      <c r="KAL220" s="19"/>
      <c r="KAM220" s="67"/>
      <c r="KAN220" s="67"/>
      <c r="KAO220" s="31"/>
      <c r="KAP220" s="19"/>
      <c r="KAQ220" s="67"/>
      <c r="KAR220" s="67"/>
      <c r="KAS220" s="31"/>
      <c r="KAT220" s="19"/>
      <c r="KAU220" s="67"/>
      <c r="KAV220" s="67"/>
      <c r="KAW220" s="31"/>
      <c r="KAX220" s="19"/>
      <c r="KAY220" s="67"/>
      <c r="KAZ220" s="67"/>
      <c r="KBA220" s="31"/>
      <c r="KBB220" s="19"/>
      <c r="KBC220" s="67"/>
      <c r="KBD220" s="67"/>
      <c r="KBE220" s="31"/>
      <c r="KBF220" s="19"/>
      <c r="KBG220" s="67"/>
      <c r="KBH220" s="67"/>
      <c r="KBI220" s="31"/>
      <c r="KBJ220" s="19"/>
      <c r="KBK220" s="67"/>
      <c r="KBL220" s="67"/>
      <c r="KBM220" s="31"/>
      <c r="KBN220" s="19"/>
      <c r="KBO220" s="67"/>
      <c r="KBP220" s="67"/>
      <c r="KBQ220" s="31"/>
      <c r="KBR220" s="19"/>
      <c r="KBS220" s="67"/>
      <c r="KBT220" s="67"/>
      <c r="KBU220" s="31"/>
      <c r="KBV220" s="19"/>
      <c r="KBW220" s="67"/>
      <c r="KBX220" s="67"/>
      <c r="KBY220" s="31"/>
      <c r="KBZ220" s="19"/>
      <c r="KCA220" s="67"/>
      <c r="KCB220" s="67"/>
      <c r="KCC220" s="31"/>
      <c r="KCD220" s="19"/>
      <c r="KCE220" s="67"/>
      <c r="KCF220" s="67"/>
      <c r="KCG220" s="31"/>
      <c r="KCH220" s="19"/>
      <c r="KCI220" s="67"/>
      <c r="KCJ220" s="67"/>
      <c r="KCK220" s="31"/>
      <c r="KCL220" s="19"/>
      <c r="KCM220" s="67"/>
      <c r="KCN220" s="67"/>
      <c r="KCO220" s="31"/>
      <c r="KCP220" s="19"/>
      <c r="KCQ220" s="67"/>
      <c r="KCR220" s="67"/>
      <c r="KCS220" s="31"/>
      <c r="KCT220" s="19"/>
      <c r="KCU220" s="67"/>
      <c r="KCV220" s="67"/>
      <c r="KCW220" s="31"/>
      <c r="KCX220" s="19"/>
      <c r="KCY220" s="67"/>
      <c r="KCZ220" s="67"/>
      <c r="KDA220" s="31"/>
      <c r="KDB220" s="19"/>
      <c r="KDC220" s="67"/>
      <c r="KDD220" s="67"/>
      <c r="KDE220" s="31"/>
      <c r="KDF220" s="19"/>
      <c r="KDG220" s="67"/>
      <c r="KDH220" s="67"/>
      <c r="KDI220" s="31"/>
      <c r="KDJ220" s="19"/>
      <c r="KDK220" s="67"/>
      <c r="KDL220" s="67"/>
      <c r="KDM220" s="31"/>
      <c r="KDN220" s="19"/>
      <c r="KDO220" s="67"/>
      <c r="KDP220" s="67"/>
      <c r="KDQ220" s="31"/>
      <c r="KDR220" s="19"/>
      <c r="KDS220" s="67"/>
      <c r="KDT220" s="67"/>
      <c r="KDU220" s="31"/>
      <c r="KDV220" s="19"/>
      <c r="KDW220" s="67"/>
      <c r="KDX220" s="67"/>
      <c r="KDY220" s="31"/>
      <c r="KDZ220" s="19"/>
      <c r="KEA220" s="67"/>
      <c r="KEB220" s="67"/>
      <c r="KEC220" s="31"/>
      <c r="KED220" s="19"/>
      <c r="KEE220" s="67"/>
      <c r="KEF220" s="67"/>
      <c r="KEG220" s="31"/>
      <c r="KEH220" s="19"/>
      <c r="KEI220" s="67"/>
      <c r="KEJ220" s="67"/>
      <c r="KEK220" s="31"/>
      <c r="KEL220" s="19"/>
      <c r="KEM220" s="67"/>
      <c r="KEN220" s="67"/>
      <c r="KEO220" s="31"/>
      <c r="KEP220" s="19"/>
      <c r="KEQ220" s="67"/>
      <c r="KER220" s="67"/>
      <c r="KES220" s="31"/>
      <c r="KET220" s="19"/>
      <c r="KEU220" s="67"/>
      <c r="KEV220" s="67"/>
      <c r="KEW220" s="31"/>
      <c r="KEX220" s="19"/>
      <c r="KEY220" s="67"/>
      <c r="KEZ220" s="67"/>
      <c r="KFA220" s="31"/>
      <c r="KFB220" s="19"/>
      <c r="KFC220" s="67"/>
      <c r="KFD220" s="67"/>
      <c r="KFE220" s="31"/>
      <c r="KFF220" s="19"/>
      <c r="KFG220" s="67"/>
      <c r="KFH220" s="67"/>
      <c r="KFI220" s="31"/>
      <c r="KFJ220" s="19"/>
      <c r="KFK220" s="67"/>
      <c r="KFL220" s="67"/>
      <c r="KFM220" s="31"/>
      <c r="KFN220" s="19"/>
      <c r="KFO220" s="67"/>
      <c r="KFP220" s="67"/>
      <c r="KFQ220" s="31"/>
      <c r="KFR220" s="19"/>
      <c r="KFS220" s="67"/>
      <c r="KFT220" s="67"/>
      <c r="KFU220" s="31"/>
      <c r="KFV220" s="19"/>
      <c r="KFW220" s="67"/>
      <c r="KFX220" s="67"/>
      <c r="KFY220" s="31"/>
      <c r="KFZ220" s="19"/>
      <c r="KGA220" s="67"/>
      <c r="KGB220" s="67"/>
      <c r="KGC220" s="31"/>
      <c r="KGD220" s="19"/>
      <c r="KGE220" s="67"/>
      <c r="KGF220" s="67"/>
      <c r="KGG220" s="31"/>
      <c r="KGH220" s="19"/>
      <c r="KGI220" s="67"/>
      <c r="KGJ220" s="67"/>
      <c r="KGK220" s="31"/>
      <c r="KGL220" s="19"/>
      <c r="KGM220" s="67"/>
      <c r="KGN220" s="67"/>
      <c r="KGO220" s="31"/>
      <c r="KGP220" s="19"/>
      <c r="KGQ220" s="67"/>
      <c r="KGR220" s="67"/>
      <c r="KGS220" s="31"/>
      <c r="KGT220" s="19"/>
      <c r="KGU220" s="67"/>
      <c r="KGV220" s="67"/>
      <c r="KGW220" s="31"/>
      <c r="KGX220" s="19"/>
      <c r="KGY220" s="67"/>
      <c r="KGZ220" s="67"/>
      <c r="KHA220" s="31"/>
      <c r="KHB220" s="19"/>
      <c r="KHC220" s="67"/>
      <c r="KHD220" s="67"/>
      <c r="KHE220" s="31"/>
      <c r="KHF220" s="19"/>
      <c r="KHG220" s="67"/>
      <c r="KHH220" s="67"/>
      <c r="KHI220" s="31"/>
      <c r="KHJ220" s="19"/>
      <c r="KHK220" s="67"/>
      <c r="KHL220" s="67"/>
      <c r="KHM220" s="31"/>
      <c r="KHN220" s="19"/>
      <c r="KHO220" s="67"/>
      <c r="KHP220" s="67"/>
      <c r="KHQ220" s="31"/>
      <c r="KHR220" s="19"/>
      <c r="KHS220" s="67"/>
      <c r="KHT220" s="67"/>
      <c r="KHU220" s="31"/>
      <c r="KHV220" s="19"/>
      <c r="KHW220" s="67"/>
      <c r="KHX220" s="67"/>
      <c r="KHY220" s="31"/>
      <c r="KHZ220" s="19"/>
      <c r="KIA220" s="67"/>
      <c r="KIB220" s="67"/>
      <c r="KIC220" s="31"/>
      <c r="KID220" s="19"/>
      <c r="KIE220" s="67"/>
      <c r="KIF220" s="67"/>
      <c r="KIG220" s="31"/>
      <c r="KIH220" s="19"/>
      <c r="KII220" s="67"/>
      <c r="KIJ220" s="67"/>
      <c r="KIK220" s="31"/>
      <c r="KIL220" s="19"/>
      <c r="KIM220" s="67"/>
      <c r="KIN220" s="67"/>
      <c r="KIO220" s="31"/>
      <c r="KIP220" s="19"/>
      <c r="KIQ220" s="67"/>
      <c r="KIR220" s="67"/>
      <c r="KIS220" s="31"/>
      <c r="KIT220" s="19"/>
      <c r="KIU220" s="67"/>
      <c r="KIV220" s="67"/>
      <c r="KIW220" s="31"/>
      <c r="KIX220" s="19"/>
      <c r="KIY220" s="67"/>
      <c r="KIZ220" s="67"/>
      <c r="KJA220" s="31"/>
      <c r="KJB220" s="19"/>
      <c r="KJC220" s="67"/>
      <c r="KJD220" s="67"/>
      <c r="KJE220" s="31"/>
      <c r="KJF220" s="19"/>
      <c r="KJG220" s="67"/>
      <c r="KJH220" s="67"/>
      <c r="KJI220" s="31"/>
      <c r="KJJ220" s="19"/>
      <c r="KJK220" s="67"/>
      <c r="KJL220" s="67"/>
      <c r="KJM220" s="31"/>
      <c r="KJN220" s="19"/>
      <c r="KJO220" s="67"/>
      <c r="KJP220" s="67"/>
      <c r="KJQ220" s="31"/>
      <c r="KJR220" s="19"/>
      <c r="KJS220" s="67"/>
      <c r="KJT220" s="67"/>
      <c r="KJU220" s="31"/>
      <c r="KJV220" s="19"/>
      <c r="KJW220" s="67"/>
      <c r="KJX220" s="67"/>
      <c r="KJY220" s="31"/>
      <c r="KJZ220" s="19"/>
      <c r="KKA220" s="67"/>
      <c r="KKB220" s="67"/>
      <c r="KKC220" s="31"/>
      <c r="KKD220" s="19"/>
      <c r="KKE220" s="67"/>
      <c r="KKF220" s="67"/>
      <c r="KKG220" s="31"/>
      <c r="KKH220" s="19"/>
      <c r="KKI220" s="67"/>
      <c r="KKJ220" s="67"/>
      <c r="KKK220" s="31"/>
      <c r="KKL220" s="19"/>
      <c r="KKM220" s="67"/>
      <c r="KKN220" s="67"/>
      <c r="KKO220" s="31"/>
      <c r="KKP220" s="19"/>
      <c r="KKQ220" s="67"/>
      <c r="KKR220" s="67"/>
      <c r="KKS220" s="31"/>
      <c r="KKT220" s="19"/>
      <c r="KKU220" s="67"/>
      <c r="KKV220" s="67"/>
      <c r="KKW220" s="31"/>
      <c r="KKX220" s="19"/>
      <c r="KKY220" s="67"/>
      <c r="KKZ220" s="67"/>
      <c r="KLA220" s="31"/>
      <c r="KLB220" s="19"/>
      <c r="KLC220" s="67"/>
      <c r="KLD220" s="67"/>
      <c r="KLE220" s="31"/>
      <c r="KLF220" s="19"/>
      <c r="KLG220" s="67"/>
      <c r="KLH220" s="67"/>
      <c r="KLI220" s="31"/>
      <c r="KLJ220" s="19"/>
      <c r="KLK220" s="67"/>
      <c r="KLL220" s="67"/>
      <c r="KLM220" s="31"/>
      <c r="KLN220" s="19"/>
      <c r="KLO220" s="67"/>
      <c r="KLP220" s="67"/>
      <c r="KLQ220" s="31"/>
      <c r="KLR220" s="19"/>
      <c r="KLS220" s="67"/>
      <c r="KLT220" s="67"/>
      <c r="KLU220" s="31"/>
      <c r="KLV220" s="19"/>
      <c r="KLW220" s="67"/>
      <c r="KLX220" s="67"/>
      <c r="KLY220" s="31"/>
      <c r="KLZ220" s="19"/>
      <c r="KMA220" s="67"/>
      <c r="KMB220" s="67"/>
      <c r="KMC220" s="31"/>
      <c r="KMD220" s="19"/>
      <c r="KME220" s="67"/>
      <c r="KMF220" s="67"/>
      <c r="KMG220" s="31"/>
      <c r="KMH220" s="19"/>
      <c r="KMI220" s="67"/>
      <c r="KMJ220" s="67"/>
      <c r="KMK220" s="31"/>
      <c r="KML220" s="19"/>
      <c r="KMM220" s="67"/>
      <c r="KMN220" s="67"/>
      <c r="KMO220" s="31"/>
      <c r="KMP220" s="19"/>
      <c r="KMQ220" s="67"/>
      <c r="KMR220" s="67"/>
      <c r="KMS220" s="31"/>
      <c r="KMT220" s="19"/>
      <c r="KMU220" s="67"/>
      <c r="KMV220" s="67"/>
      <c r="KMW220" s="31"/>
      <c r="KMX220" s="19"/>
      <c r="KMY220" s="67"/>
      <c r="KMZ220" s="67"/>
      <c r="KNA220" s="31"/>
      <c r="KNB220" s="19"/>
      <c r="KNC220" s="67"/>
      <c r="KND220" s="67"/>
      <c r="KNE220" s="31"/>
      <c r="KNF220" s="19"/>
      <c r="KNG220" s="67"/>
      <c r="KNH220" s="67"/>
      <c r="KNI220" s="31"/>
      <c r="KNJ220" s="19"/>
      <c r="KNK220" s="67"/>
      <c r="KNL220" s="67"/>
      <c r="KNM220" s="31"/>
      <c r="KNN220" s="19"/>
      <c r="KNO220" s="67"/>
      <c r="KNP220" s="67"/>
      <c r="KNQ220" s="31"/>
      <c r="KNR220" s="19"/>
      <c r="KNS220" s="67"/>
      <c r="KNT220" s="67"/>
      <c r="KNU220" s="31"/>
      <c r="KNV220" s="19"/>
      <c r="KNW220" s="67"/>
      <c r="KNX220" s="67"/>
      <c r="KNY220" s="31"/>
      <c r="KNZ220" s="19"/>
      <c r="KOA220" s="67"/>
      <c r="KOB220" s="67"/>
      <c r="KOC220" s="31"/>
      <c r="KOD220" s="19"/>
      <c r="KOE220" s="67"/>
      <c r="KOF220" s="67"/>
      <c r="KOG220" s="31"/>
      <c r="KOH220" s="19"/>
      <c r="KOI220" s="67"/>
      <c r="KOJ220" s="67"/>
      <c r="KOK220" s="31"/>
      <c r="KOL220" s="19"/>
      <c r="KOM220" s="67"/>
      <c r="KON220" s="67"/>
      <c r="KOO220" s="31"/>
      <c r="KOP220" s="19"/>
      <c r="KOQ220" s="67"/>
      <c r="KOR220" s="67"/>
      <c r="KOS220" s="31"/>
      <c r="KOT220" s="19"/>
      <c r="KOU220" s="67"/>
      <c r="KOV220" s="67"/>
      <c r="KOW220" s="31"/>
      <c r="KOX220" s="19"/>
      <c r="KOY220" s="67"/>
      <c r="KOZ220" s="67"/>
      <c r="KPA220" s="31"/>
      <c r="KPB220" s="19"/>
      <c r="KPC220" s="67"/>
      <c r="KPD220" s="67"/>
      <c r="KPE220" s="31"/>
      <c r="KPF220" s="19"/>
      <c r="KPG220" s="67"/>
      <c r="KPH220" s="67"/>
      <c r="KPI220" s="31"/>
      <c r="KPJ220" s="19"/>
      <c r="KPK220" s="67"/>
      <c r="KPL220" s="67"/>
      <c r="KPM220" s="31"/>
      <c r="KPN220" s="19"/>
      <c r="KPO220" s="67"/>
      <c r="KPP220" s="67"/>
      <c r="KPQ220" s="31"/>
      <c r="KPR220" s="19"/>
      <c r="KPS220" s="67"/>
      <c r="KPT220" s="67"/>
      <c r="KPU220" s="31"/>
      <c r="KPV220" s="19"/>
      <c r="KPW220" s="67"/>
      <c r="KPX220" s="67"/>
      <c r="KPY220" s="31"/>
      <c r="KPZ220" s="19"/>
      <c r="KQA220" s="67"/>
      <c r="KQB220" s="67"/>
      <c r="KQC220" s="31"/>
      <c r="KQD220" s="19"/>
      <c r="KQE220" s="67"/>
      <c r="KQF220" s="67"/>
      <c r="KQG220" s="31"/>
      <c r="KQH220" s="19"/>
      <c r="KQI220" s="67"/>
      <c r="KQJ220" s="67"/>
      <c r="KQK220" s="31"/>
      <c r="KQL220" s="19"/>
      <c r="KQM220" s="67"/>
      <c r="KQN220" s="67"/>
      <c r="KQO220" s="31"/>
      <c r="KQP220" s="19"/>
      <c r="KQQ220" s="67"/>
      <c r="KQR220" s="67"/>
      <c r="KQS220" s="31"/>
      <c r="KQT220" s="19"/>
      <c r="KQU220" s="67"/>
      <c r="KQV220" s="67"/>
      <c r="KQW220" s="31"/>
      <c r="KQX220" s="19"/>
      <c r="KQY220" s="67"/>
      <c r="KQZ220" s="67"/>
      <c r="KRA220" s="31"/>
      <c r="KRB220" s="19"/>
      <c r="KRC220" s="67"/>
      <c r="KRD220" s="67"/>
      <c r="KRE220" s="31"/>
      <c r="KRF220" s="19"/>
      <c r="KRG220" s="67"/>
      <c r="KRH220" s="67"/>
      <c r="KRI220" s="31"/>
      <c r="KRJ220" s="19"/>
      <c r="KRK220" s="67"/>
      <c r="KRL220" s="67"/>
      <c r="KRM220" s="31"/>
      <c r="KRN220" s="19"/>
      <c r="KRO220" s="67"/>
      <c r="KRP220" s="67"/>
      <c r="KRQ220" s="31"/>
      <c r="KRR220" s="19"/>
      <c r="KRS220" s="67"/>
      <c r="KRT220" s="67"/>
      <c r="KRU220" s="31"/>
      <c r="KRV220" s="19"/>
      <c r="KRW220" s="67"/>
      <c r="KRX220" s="67"/>
      <c r="KRY220" s="31"/>
      <c r="KRZ220" s="19"/>
      <c r="KSA220" s="67"/>
      <c r="KSB220" s="67"/>
      <c r="KSC220" s="31"/>
      <c r="KSD220" s="19"/>
      <c r="KSE220" s="67"/>
      <c r="KSF220" s="67"/>
      <c r="KSG220" s="31"/>
      <c r="KSH220" s="19"/>
      <c r="KSI220" s="67"/>
      <c r="KSJ220" s="67"/>
      <c r="KSK220" s="31"/>
      <c r="KSL220" s="19"/>
      <c r="KSM220" s="67"/>
      <c r="KSN220" s="67"/>
      <c r="KSO220" s="31"/>
      <c r="KSP220" s="19"/>
      <c r="KSQ220" s="67"/>
      <c r="KSR220" s="67"/>
      <c r="KSS220" s="31"/>
      <c r="KST220" s="19"/>
      <c r="KSU220" s="67"/>
      <c r="KSV220" s="67"/>
      <c r="KSW220" s="31"/>
      <c r="KSX220" s="19"/>
      <c r="KSY220" s="67"/>
      <c r="KSZ220" s="67"/>
      <c r="KTA220" s="31"/>
      <c r="KTB220" s="19"/>
      <c r="KTC220" s="67"/>
      <c r="KTD220" s="67"/>
      <c r="KTE220" s="31"/>
      <c r="KTF220" s="19"/>
      <c r="KTG220" s="67"/>
      <c r="KTH220" s="67"/>
      <c r="KTI220" s="31"/>
      <c r="KTJ220" s="19"/>
      <c r="KTK220" s="67"/>
      <c r="KTL220" s="67"/>
      <c r="KTM220" s="31"/>
      <c r="KTN220" s="19"/>
      <c r="KTO220" s="67"/>
      <c r="KTP220" s="67"/>
      <c r="KTQ220" s="31"/>
      <c r="KTR220" s="19"/>
      <c r="KTS220" s="67"/>
      <c r="KTT220" s="67"/>
      <c r="KTU220" s="31"/>
      <c r="KTV220" s="19"/>
      <c r="KTW220" s="67"/>
      <c r="KTX220" s="67"/>
      <c r="KTY220" s="31"/>
      <c r="KTZ220" s="19"/>
      <c r="KUA220" s="67"/>
      <c r="KUB220" s="67"/>
      <c r="KUC220" s="31"/>
      <c r="KUD220" s="19"/>
      <c r="KUE220" s="67"/>
      <c r="KUF220" s="67"/>
      <c r="KUG220" s="31"/>
      <c r="KUH220" s="19"/>
      <c r="KUI220" s="67"/>
      <c r="KUJ220" s="67"/>
      <c r="KUK220" s="31"/>
      <c r="KUL220" s="19"/>
      <c r="KUM220" s="67"/>
      <c r="KUN220" s="67"/>
      <c r="KUO220" s="31"/>
      <c r="KUP220" s="19"/>
      <c r="KUQ220" s="67"/>
      <c r="KUR220" s="67"/>
      <c r="KUS220" s="31"/>
      <c r="KUT220" s="19"/>
      <c r="KUU220" s="67"/>
      <c r="KUV220" s="67"/>
      <c r="KUW220" s="31"/>
      <c r="KUX220" s="19"/>
      <c r="KUY220" s="67"/>
      <c r="KUZ220" s="67"/>
      <c r="KVA220" s="31"/>
      <c r="KVB220" s="19"/>
      <c r="KVC220" s="67"/>
      <c r="KVD220" s="67"/>
      <c r="KVE220" s="31"/>
      <c r="KVF220" s="19"/>
      <c r="KVG220" s="67"/>
      <c r="KVH220" s="67"/>
      <c r="KVI220" s="31"/>
      <c r="KVJ220" s="19"/>
      <c r="KVK220" s="67"/>
      <c r="KVL220" s="67"/>
      <c r="KVM220" s="31"/>
      <c r="KVN220" s="19"/>
      <c r="KVO220" s="67"/>
      <c r="KVP220" s="67"/>
      <c r="KVQ220" s="31"/>
      <c r="KVR220" s="19"/>
      <c r="KVS220" s="67"/>
      <c r="KVT220" s="67"/>
      <c r="KVU220" s="31"/>
      <c r="KVV220" s="19"/>
      <c r="KVW220" s="67"/>
      <c r="KVX220" s="67"/>
      <c r="KVY220" s="31"/>
      <c r="KVZ220" s="19"/>
      <c r="KWA220" s="67"/>
      <c r="KWB220" s="67"/>
      <c r="KWC220" s="31"/>
      <c r="KWD220" s="19"/>
      <c r="KWE220" s="67"/>
      <c r="KWF220" s="67"/>
      <c r="KWG220" s="31"/>
      <c r="KWH220" s="19"/>
      <c r="KWI220" s="67"/>
      <c r="KWJ220" s="67"/>
      <c r="KWK220" s="31"/>
      <c r="KWL220" s="19"/>
      <c r="KWM220" s="67"/>
      <c r="KWN220" s="67"/>
      <c r="KWO220" s="31"/>
      <c r="KWP220" s="19"/>
      <c r="KWQ220" s="67"/>
      <c r="KWR220" s="67"/>
      <c r="KWS220" s="31"/>
      <c r="KWT220" s="19"/>
      <c r="KWU220" s="67"/>
      <c r="KWV220" s="67"/>
      <c r="KWW220" s="31"/>
      <c r="KWX220" s="19"/>
      <c r="KWY220" s="67"/>
      <c r="KWZ220" s="67"/>
      <c r="KXA220" s="31"/>
      <c r="KXB220" s="19"/>
      <c r="KXC220" s="67"/>
      <c r="KXD220" s="67"/>
      <c r="KXE220" s="31"/>
      <c r="KXF220" s="19"/>
      <c r="KXG220" s="67"/>
      <c r="KXH220" s="67"/>
      <c r="KXI220" s="31"/>
      <c r="KXJ220" s="19"/>
      <c r="KXK220" s="67"/>
      <c r="KXL220" s="67"/>
      <c r="KXM220" s="31"/>
      <c r="KXN220" s="19"/>
      <c r="KXO220" s="67"/>
      <c r="KXP220" s="67"/>
      <c r="KXQ220" s="31"/>
      <c r="KXR220" s="19"/>
      <c r="KXS220" s="67"/>
      <c r="KXT220" s="67"/>
      <c r="KXU220" s="31"/>
      <c r="KXV220" s="19"/>
      <c r="KXW220" s="67"/>
      <c r="KXX220" s="67"/>
      <c r="KXY220" s="31"/>
      <c r="KXZ220" s="19"/>
      <c r="KYA220" s="67"/>
      <c r="KYB220" s="67"/>
      <c r="KYC220" s="31"/>
      <c r="KYD220" s="19"/>
      <c r="KYE220" s="67"/>
      <c r="KYF220" s="67"/>
      <c r="KYG220" s="31"/>
      <c r="KYH220" s="19"/>
      <c r="KYI220" s="67"/>
      <c r="KYJ220" s="67"/>
      <c r="KYK220" s="31"/>
      <c r="KYL220" s="19"/>
      <c r="KYM220" s="67"/>
      <c r="KYN220" s="67"/>
      <c r="KYO220" s="31"/>
      <c r="KYP220" s="19"/>
      <c r="KYQ220" s="67"/>
      <c r="KYR220" s="67"/>
      <c r="KYS220" s="31"/>
      <c r="KYT220" s="19"/>
      <c r="KYU220" s="67"/>
      <c r="KYV220" s="67"/>
      <c r="KYW220" s="31"/>
      <c r="KYX220" s="19"/>
      <c r="KYY220" s="67"/>
      <c r="KYZ220" s="67"/>
      <c r="KZA220" s="31"/>
      <c r="KZB220" s="19"/>
      <c r="KZC220" s="67"/>
      <c r="KZD220" s="67"/>
      <c r="KZE220" s="31"/>
      <c r="KZF220" s="19"/>
      <c r="KZG220" s="67"/>
      <c r="KZH220" s="67"/>
      <c r="KZI220" s="31"/>
      <c r="KZJ220" s="19"/>
      <c r="KZK220" s="67"/>
      <c r="KZL220" s="67"/>
      <c r="KZM220" s="31"/>
      <c r="KZN220" s="19"/>
      <c r="KZO220" s="67"/>
      <c r="KZP220" s="67"/>
      <c r="KZQ220" s="31"/>
      <c r="KZR220" s="19"/>
      <c r="KZS220" s="67"/>
      <c r="KZT220" s="67"/>
      <c r="KZU220" s="31"/>
      <c r="KZV220" s="19"/>
      <c r="KZW220" s="67"/>
      <c r="KZX220" s="67"/>
      <c r="KZY220" s="31"/>
      <c r="KZZ220" s="19"/>
      <c r="LAA220" s="67"/>
      <c r="LAB220" s="67"/>
      <c r="LAC220" s="31"/>
      <c r="LAD220" s="19"/>
      <c r="LAE220" s="67"/>
      <c r="LAF220" s="67"/>
      <c r="LAG220" s="31"/>
      <c r="LAH220" s="19"/>
      <c r="LAI220" s="67"/>
      <c r="LAJ220" s="67"/>
      <c r="LAK220" s="31"/>
      <c r="LAL220" s="19"/>
      <c r="LAM220" s="67"/>
      <c r="LAN220" s="67"/>
      <c r="LAO220" s="31"/>
      <c r="LAP220" s="19"/>
      <c r="LAQ220" s="67"/>
      <c r="LAR220" s="67"/>
      <c r="LAS220" s="31"/>
      <c r="LAT220" s="19"/>
      <c r="LAU220" s="67"/>
      <c r="LAV220" s="67"/>
      <c r="LAW220" s="31"/>
      <c r="LAX220" s="19"/>
      <c r="LAY220" s="67"/>
      <c r="LAZ220" s="67"/>
      <c r="LBA220" s="31"/>
      <c r="LBB220" s="19"/>
      <c r="LBC220" s="67"/>
      <c r="LBD220" s="67"/>
      <c r="LBE220" s="31"/>
      <c r="LBF220" s="19"/>
      <c r="LBG220" s="67"/>
      <c r="LBH220" s="67"/>
      <c r="LBI220" s="31"/>
      <c r="LBJ220" s="19"/>
      <c r="LBK220" s="67"/>
      <c r="LBL220" s="67"/>
      <c r="LBM220" s="31"/>
      <c r="LBN220" s="19"/>
      <c r="LBO220" s="67"/>
      <c r="LBP220" s="67"/>
      <c r="LBQ220" s="31"/>
      <c r="LBR220" s="19"/>
      <c r="LBS220" s="67"/>
      <c r="LBT220" s="67"/>
      <c r="LBU220" s="31"/>
      <c r="LBV220" s="19"/>
      <c r="LBW220" s="67"/>
      <c r="LBX220" s="67"/>
      <c r="LBY220" s="31"/>
      <c r="LBZ220" s="19"/>
      <c r="LCA220" s="67"/>
      <c r="LCB220" s="67"/>
      <c r="LCC220" s="31"/>
      <c r="LCD220" s="19"/>
      <c r="LCE220" s="67"/>
      <c r="LCF220" s="67"/>
      <c r="LCG220" s="31"/>
      <c r="LCH220" s="19"/>
      <c r="LCI220" s="67"/>
      <c r="LCJ220" s="67"/>
      <c r="LCK220" s="31"/>
      <c r="LCL220" s="19"/>
      <c r="LCM220" s="67"/>
      <c r="LCN220" s="67"/>
      <c r="LCO220" s="31"/>
      <c r="LCP220" s="19"/>
      <c r="LCQ220" s="67"/>
      <c r="LCR220" s="67"/>
      <c r="LCS220" s="31"/>
      <c r="LCT220" s="19"/>
      <c r="LCU220" s="67"/>
      <c r="LCV220" s="67"/>
      <c r="LCW220" s="31"/>
      <c r="LCX220" s="19"/>
      <c r="LCY220" s="67"/>
      <c r="LCZ220" s="67"/>
      <c r="LDA220" s="31"/>
      <c r="LDB220" s="19"/>
      <c r="LDC220" s="67"/>
      <c r="LDD220" s="67"/>
      <c r="LDE220" s="31"/>
      <c r="LDF220" s="19"/>
      <c r="LDG220" s="67"/>
      <c r="LDH220" s="67"/>
      <c r="LDI220" s="31"/>
      <c r="LDJ220" s="19"/>
      <c r="LDK220" s="67"/>
      <c r="LDL220" s="67"/>
      <c r="LDM220" s="31"/>
      <c r="LDN220" s="19"/>
      <c r="LDO220" s="67"/>
      <c r="LDP220" s="67"/>
      <c r="LDQ220" s="31"/>
      <c r="LDR220" s="19"/>
      <c r="LDS220" s="67"/>
      <c r="LDT220" s="67"/>
      <c r="LDU220" s="31"/>
      <c r="LDV220" s="19"/>
      <c r="LDW220" s="67"/>
      <c r="LDX220" s="67"/>
      <c r="LDY220" s="31"/>
      <c r="LDZ220" s="19"/>
      <c r="LEA220" s="67"/>
      <c r="LEB220" s="67"/>
      <c r="LEC220" s="31"/>
      <c r="LED220" s="19"/>
      <c r="LEE220" s="67"/>
      <c r="LEF220" s="67"/>
      <c r="LEG220" s="31"/>
      <c r="LEH220" s="19"/>
      <c r="LEI220" s="67"/>
      <c r="LEJ220" s="67"/>
      <c r="LEK220" s="31"/>
      <c r="LEL220" s="19"/>
      <c r="LEM220" s="67"/>
      <c r="LEN220" s="67"/>
      <c r="LEO220" s="31"/>
      <c r="LEP220" s="19"/>
      <c r="LEQ220" s="67"/>
      <c r="LER220" s="67"/>
      <c r="LES220" s="31"/>
      <c r="LET220" s="19"/>
      <c r="LEU220" s="67"/>
      <c r="LEV220" s="67"/>
      <c r="LEW220" s="31"/>
      <c r="LEX220" s="19"/>
      <c r="LEY220" s="67"/>
      <c r="LEZ220" s="67"/>
      <c r="LFA220" s="31"/>
      <c r="LFB220" s="19"/>
      <c r="LFC220" s="67"/>
      <c r="LFD220" s="67"/>
      <c r="LFE220" s="31"/>
      <c r="LFF220" s="19"/>
      <c r="LFG220" s="67"/>
      <c r="LFH220" s="67"/>
      <c r="LFI220" s="31"/>
      <c r="LFJ220" s="19"/>
      <c r="LFK220" s="67"/>
      <c r="LFL220" s="67"/>
      <c r="LFM220" s="31"/>
      <c r="LFN220" s="19"/>
      <c r="LFO220" s="67"/>
      <c r="LFP220" s="67"/>
      <c r="LFQ220" s="31"/>
      <c r="LFR220" s="19"/>
      <c r="LFS220" s="67"/>
      <c r="LFT220" s="67"/>
      <c r="LFU220" s="31"/>
      <c r="LFV220" s="19"/>
      <c r="LFW220" s="67"/>
      <c r="LFX220" s="67"/>
      <c r="LFY220" s="31"/>
      <c r="LFZ220" s="19"/>
      <c r="LGA220" s="67"/>
      <c r="LGB220" s="67"/>
      <c r="LGC220" s="31"/>
      <c r="LGD220" s="19"/>
      <c r="LGE220" s="67"/>
      <c r="LGF220" s="67"/>
      <c r="LGG220" s="31"/>
      <c r="LGH220" s="19"/>
      <c r="LGI220" s="67"/>
      <c r="LGJ220" s="67"/>
      <c r="LGK220" s="31"/>
      <c r="LGL220" s="19"/>
      <c r="LGM220" s="67"/>
      <c r="LGN220" s="67"/>
      <c r="LGO220" s="31"/>
      <c r="LGP220" s="19"/>
      <c r="LGQ220" s="67"/>
      <c r="LGR220" s="67"/>
      <c r="LGS220" s="31"/>
      <c r="LGT220" s="19"/>
      <c r="LGU220" s="67"/>
      <c r="LGV220" s="67"/>
      <c r="LGW220" s="31"/>
      <c r="LGX220" s="19"/>
      <c r="LGY220" s="67"/>
      <c r="LGZ220" s="67"/>
      <c r="LHA220" s="31"/>
      <c r="LHB220" s="19"/>
      <c r="LHC220" s="67"/>
      <c r="LHD220" s="67"/>
      <c r="LHE220" s="31"/>
      <c r="LHF220" s="19"/>
      <c r="LHG220" s="67"/>
      <c r="LHH220" s="67"/>
      <c r="LHI220" s="31"/>
      <c r="LHJ220" s="19"/>
      <c r="LHK220" s="67"/>
      <c r="LHL220" s="67"/>
      <c r="LHM220" s="31"/>
      <c r="LHN220" s="19"/>
      <c r="LHO220" s="67"/>
      <c r="LHP220" s="67"/>
      <c r="LHQ220" s="31"/>
      <c r="LHR220" s="19"/>
      <c r="LHS220" s="67"/>
      <c r="LHT220" s="67"/>
      <c r="LHU220" s="31"/>
      <c r="LHV220" s="19"/>
      <c r="LHW220" s="67"/>
      <c r="LHX220" s="67"/>
      <c r="LHY220" s="31"/>
      <c r="LHZ220" s="19"/>
      <c r="LIA220" s="67"/>
      <c r="LIB220" s="67"/>
      <c r="LIC220" s="31"/>
      <c r="LID220" s="19"/>
      <c r="LIE220" s="67"/>
      <c r="LIF220" s="67"/>
      <c r="LIG220" s="31"/>
      <c r="LIH220" s="19"/>
      <c r="LII220" s="67"/>
      <c r="LIJ220" s="67"/>
      <c r="LIK220" s="31"/>
      <c r="LIL220" s="19"/>
      <c r="LIM220" s="67"/>
      <c r="LIN220" s="67"/>
      <c r="LIO220" s="31"/>
      <c r="LIP220" s="19"/>
      <c r="LIQ220" s="67"/>
      <c r="LIR220" s="67"/>
      <c r="LIS220" s="31"/>
      <c r="LIT220" s="19"/>
      <c r="LIU220" s="67"/>
      <c r="LIV220" s="67"/>
      <c r="LIW220" s="31"/>
      <c r="LIX220" s="19"/>
      <c r="LIY220" s="67"/>
      <c r="LIZ220" s="67"/>
      <c r="LJA220" s="31"/>
      <c r="LJB220" s="19"/>
      <c r="LJC220" s="67"/>
      <c r="LJD220" s="67"/>
      <c r="LJE220" s="31"/>
      <c r="LJF220" s="19"/>
      <c r="LJG220" s="67"/>
      <c r="LJH220" s="67"/>
      <c r="LJI220" s="31"/>
      <c r="LJJ220" s="19"/>
      <c r="LJK220" s="67"/>
      <c r="LJL220" s="67"/>
      <c r="LJM220" s="31"/>
      <c r="LJN220" s="19"/>
      <c r="LJO220" s="67"/>
      <c r="LJP220" s="67"/>
      <c r="LJQ220" s="31"/>
      <c r="LJR220" s="19"/>
      <c r="LJS220" s="67"/>
      <c r="LJT220" s="67"/>
      <c r="LJU220" s="31"/>
      <c r="LJV220" s="19"/>
      <c r="LJW220" s="67"/>
      <c r="LJX220" s="67"/>
      <c r="LJY220" s="31"/>
      <c r="LJZ220" s="19"/>
      <c r="LKA220" s="67"/>
      <c r="LKB220" s="67"/>
      <c r="LKC220" s="31"/>
      <c r="LKD220" s="19"/>
      <c r="LKE220" s="67"/>
      <c r="LKF220" s="67"/>
      <c r="LKG220" s="31"/>
      <c r="LKH220" s="19"/>
      <c r="LKI220" s="67"/>
      <c r="LKJ220" s="67"/>
      <c r="LKK220" s="31"/>
      <c r="LKL220" s="19"/>
      <c r="LKM220" s="67"/>
      <c r="LKN220" s="67"/>
      <c r="LKO220" s="31"/>
      <c r="LKP220" s="19"/>
      <c r="LKQ220" s="67"/>
      <c r="LKR220" s="67"/>
      <c r="LKS220" s="31"/>
      <c r="LKT220" s="19"/>
      <c r="LKU220" s="67"/>
      <c r="LKV220" s="67"/>
      <c r="LKW220" s="31"/>
      <c r="LKX220" s="19"/>
      <c r="LKY220" s="67"/>
      <c r="LKZ220" s="67"/>
      <c r="LLA220" s="31"/>
      <c r="LLB220" s="19"/>
      <c r="LLC220" s="67"/>
      <c r="LLD220" s="67"/>
      <c r="LLE220" s="31"/>
      <c r="LLF220" s="19"/>
      <c r="LLG220" s="67"/>
      <c r="LLH220" s="67"/>
      <c r="LLI220" s="31"/>
      <c r="LLJ220" s="19"/>
      <c r="LLK220" s="67"/>
      <c r="LLL220" s="67"/>
      <c r="LLM220" s="31"/>
      <c r="LLN220" s="19"/>
      <c r="LLO220" s="67"/>
      <c r="LLP220" s="67"/>
      <c r="LLQ220" s="31"/>
      <c r="LLR220" s="19"/>
      <c r="LLS220" s="67"/>
      <c r="LLT220" s="67"/>
      <c r="LLU220" s="31"/>
      <c r="LLV220" s="19"/>
      <c r="LLW220" s="67"/>
      <c r="LLX220" s="67"/>
      <c r="LLY220" s="31"/>
      <c r="LLZ220" s="19"/>
      <c r="LMA220" s="67"/>
      <c r="LMB220" s="67"/>
      <c r="LMC220" s="31"/>
      <c r="LMD220" s="19"/>
      <c r="LME220" s="67"/>
      <c r="LMF220" s="67"/>
      <c r="LMG220" s="31"/>
      <c r="LMH220" s="19"/>
      <c r="LMI220" s="67"/>
      <c r="LMJ220" s="67"/>
      <c r="LMK220" s="31"/>
      <c r="LML220" s="19"/>
      <c r="LMM220" s="67"/>
      <c r="LMN220" s="67"/>
      <c r="LMO220" s="31"/>
      <c r="LMP220" s="19"/>
      <c r="LMQ220" s="67"/>
      <c r="LMR220" s="67"/>
      <c r="LMS220" s="31"/>
      <c r="LMT220" s="19"/>
      <c r="LMU220" s="67"/>
      <c r="LMV220" s="67"/>
      <c r="LMW220" s="31"/>
      <c r="LMX220" s="19"/>
      <c r="LMY220" s="67"/>
      <c r="LMZ220" s="67"/>
      <c r="LNA220" s="31"/>
      <c r="LNB220" s="19"/>
      <c r="LNC220" s="67"/>
      <c r="LND220" s="67"/>
      <c r="LNE220" s="31"/>
      <c r="LNF220" s="19"/>
      <c r="LNG220" s="67"/>
      <c r="LNH220" s="67"/>
      <c r="LNI220" s="31"/>
      <c r="LNJ220" s="19"/>
      <c r="LNK220" s="67"/>
      <c r="LNL220" s="67"/>
      <c r="LNM220" s="31"/>
      <c r="LNN220" s="19"/>
      <c r="LNO220" s="67"/>
      <c r="LNP220" s="67"/>
      <c r="LNQ220" s="31"/>
      <c r="LNR220" s="19"/>
      <c r="LNS220" s="67"/>
      <c r="LNT220" s="67"/>
      <c r="LNU220" s="31"/>
      <c r="LNV220" s="19"/>
      <c r="LNW220" s="67"/>
      <c r="LNX220" s="67"/>
      <c r="LNY220" s="31"/>
      <c r="LNZ220" s="19"/>
      <c r="LOA220" s="67"/>
      <c r="LOB220" s="67"/>
      <c r="LOC220" s="31"/>
      <c r="LOD220" s="19"/>
      <c r="LOE220" s="67"/>
      <c r="LOF220" s="67"/>
      <c r="LOG220" s="31"/>
      <c r="LOH220" s="19"/>
      <c r="LOI220" s="67"/>
      <c r="LOJ220" s="67"/>
      <c r="LOK220" s="31"/>
      <c r="LOL220" s="19"/>
      <c r="LOM220" s="67"/>
      <c r="LON220" s="67"/>
      <c r="LOO220" s="31"/>
      <c r="LOP220" s="19"/>
      <c r="LOQ220" s="67"/>
      <c r="LOR220" s="67"/>
      <c r="LOS220" s="31"/>
      <c r="LOT220" s="19"/>
      <c r="LOU220" s="67"/>
      <c r="LOV220" s="67"/>
      <c r="LOW220" s="31"/>
      <c r="LOX220" s="19"/>
      <c r="LOY220" s="67"/>
      <c r="LOZ220" s="67"/>
      <c r="LPA220" s="31"/>
      <c r="LPB220" s="19"/>
      <c r="LPC220" s="67"/>
      <c r="LPD220" s="67"/>
      <c r="LPE220" s="31"/>
      <c r="LPF220" s="19"/>
      <c r="LPG220" s="67"/>
      <c r="LPH220" s="67"/>
      <c r="LPI220" s="31"/>
      <c r="LPJ220" s="19"/>
      <c r="LPK220" s="67"/>
      <c r="LPL220" s="67"/>
      <c r="LPM220" s="31"/>
      <c r="LPN220" s="19"/>
      <c r="LPO220" s="67"/>
      <c r="LPP220" s="67"/>
      <c r="LPQ220" s="31"/>
      <c r="LPR220" s="19"/>
      <c r="LPS220" s="67"/>
      <c r="LPT220" s="67"/>
      <c r="LPU220" s="31"/>
      <c r="LPV220" s="19"/>
      <c r="LPW220" s="67"/>
      <c r="LPX220" s="67"/>
      <c r="LPY220" s="31"/>
      <c r="LPZ220" s="19"/>
      <c r="LQA220" s="67"/>
      <c r="LQB220" s="67"/>
      <c r="LQC220" s="31"/>
      <c r="LQD220" s="19"/>
      <c r="LQE220" s="67"/>
      <c r="LQF220" s="67"/>
      <c r="LQG220" s="31"/>
      <c r="LQH220" s="19"/>
      <c r="LQI220" s="67"/>
      <c r="LQJ220" s="67"/>
      <c r="LQK220" s="31"/>
      <c r="LQL220" s="19"/>
      <c r="LQM220" s="67"/>
      <c r="LQN220" s="67"/>
      <c r="LQO220" s="31"/>
      <c r="LQP220" s="19"/>
      <c r="LQQ220" s="67"/>
      <c r="LQR220" s="67"/>
      <c r="LQS220" s="31"/>
      <c r="LQT220" s="19"/>
      <c r="LQU220" s="67"/>
      <c r="LQV220" s="67"/>
      <c r="LQW220" s="31"/>
      <c r="LQX220" s="19"/>
      <c r="LQY220" s="67"/>
      <c r="LQZ220" s="67"/>
      <c r="LRA220" s="31"/>
      <c r="LRB220" s="19"/>
      <c r="LRC220" s="67"/>
      <c r="LRD220" s="67"/>
      <c r="LRE220" s="31"/>
      <c r="LRF220" s="19"/>
      <c r="LRG220" s="67"/>
      <c r="LRH220" s="67"/>
      <c r="LRI220" s="31"/>
      <c r="LRJ220" s="19"/>
      <c r="LRK220" s="67"/>
      <c r="LRL220" s="67"/>
      <c r="LRM220" s="31"/>
      <c r="LRN220" s="19"/>
      <c r="LRO220" s="67"/>
      <c r="LRP220" s="67"/>
      <c r="LRQ220" s="31"/>
      <c r="LRR220" s="19"/>
      <c r="LRS220" s="67"/>
      <c r="LRT220" s="67"/>
      <c r="LRU220" s="31"/>
      <c r="LRV220" s="19"/>
      <c r="LRW220" s="67"/>
      <c r="LRX220" s="67"/>
      <c r="LRY220" s="31"/>
      <c r="LRZ220" s="19"/>
      <c r="LSA220" s="67"/>
      <c r="LSB220" s="67"/>
      <c r="LSC220" s="31"/>
      <c r="LSD220" s="19"/>
      <c r="LSE220" s="67"/>
      <c r="LSF220" s="67"/>
      <c r="LSG220" s="31"/>
      <c r="LSH220" s="19"/>
      <c r="LSI220" s="67"/>
      <c r="LSJ220" s="67"/>
      <c r="LSK220" s="31"/>
      <c r="LSL220" s="19"/>
      <c r="LSM220" s="67"/>
      <c r="LSN220" s="67"/>
      <c r="LSO220" s="31"/>
      <c r="LSP220" s="19"/>
      <c r="LSQ220" s="67"/>
      <c r="LSR220" s="67"/>
      <c r="LSS220" s="31"/>
      <c r="LST220" s="19"/>
      <c r="LSU220" s="67"/>
      <c r="LSV220" s="67"/>
      <c r="LSW220" s="31"/>
      <c r="LSX220" s="19"/>
      <c r="LSY220" s="67"/>
      <c r="LSZ220" s="67"/>
      <c r="LTA220" s="31"/>
      <c r="LTB220" s="19"/>
      <c r="LTC220" s="67"/>
      <c r="LTD220" s="67"/>
      <c r="LTE220" s="31"/>
      <c r="LTF220" s="19"/>
      <c r="LTG220" s="67"/>
      <c r="LTH220" s="67"/>
      <c r="LTI220" s="31"/>
      <c r="LTJ220" s="19"/>
      <c r="LTK220" s="67"/>
      <c r="LTL220" s="67"/>
      <c r="LTM220" s="31"/>
      <c r="LTN220" s="19"/>
      <c r="LTO220" s="67"/>
      <c r="LTP220" s="67"/>
      <c r="LTQ220" s="31"/>
      <c r="LTR220" s="19"/>
      <c r="LTS220" s="67"/>
      <c r="LTT220" s="67"/>
      <c r="LTU220" s="31"/>
      <c r="LTV220" s="19"/>
      <c r="LTW220" s="67"/>
      <c r="LTX220" s="67"/>
      <c r="LTY220" s="31"/>
      <c r="LTZ220" s="19"/>
      <c r="LUA220" s="67"/>
      <c r="LUB220" s="67"/>
      <c r="LUC220" s="31"/>
      <c r="LUD220" s="19"/>
      <c r="LUE220" s="67"/>
      <c r="LUF220" s="67"/>
      <c r="LUG220" s="31"/>
      <c r="LUH220" s="19"/>
      <c r="LUI220" s="67"/>
      <c r="LUJ220" s="67"/>
      <c r="LUK220" s="31"/>
      <c r="LUL220" s="19"/>
      <c r="LUM220" s="67"/>
      <c r="LUN220" s="67"/>
      <c r="LUO220" s="31"/>
      <c r="LUP220" s="19"/>
      <c r="LUQ220" s="67"/>
      <c r="LUR220" s="67"/>
      <c r="LUS220" s="31"/>
      <c r="LUT220" s="19"/>
      <c r="LUU220" s="67"/>
      <c r="LUV220" s="67"/>
      <c r="LUW220" s="31"/>
      <c r="LUX220" s="19"/>
      <c r="LUY220" s="67"/>
      <c r="LUZ220" s="67"/>
      <c r="LVA220" s="31"/>
      <c r="LVB220" s="19"/>
      <c r="LVC220" s="67"/>
      <c r="LVD220" s="67"/>
      <c r="LVE220" s="31"/>
      <c r="LVF220" s="19"/>
      <c r="LVG220" s="67"/>
      <c r="LVH220" s="67"/>
      <c r="LVI220" s="31"/>
      <c r="LVJ220" s="19"/>
      <c r="LVK220" s="67"/>
      <c r="LVL220" s="67"/>
      <c r="LVM220" s="31"/>
      <c r="LVN220" s="19"/>
      <c r="LVO220" s="67"/>
      <c r="LVP220" s="67"/>
      <c r="LVQ220" s="31"/>
      <c r="LVR220" s="19"/>
      <c r="LVS220" s="67"/>
      <c r="LVT220" s="67"/>
      <c r="LVU220" s="31"/>
      <c r="LVV220" s="19"/>
      <c r="LVW220" s="67"/>
      <c r="LVX220" s="67"/>
      <c r="LVY220" s="31"/>
      <c r="LVZ220" s="19"/>
      <c r="LWA220" s="67"/>
      <c r="LWB220" s="67"/>
      <c r="LWC220" s="31"/>
      <c r="LWD220" s="19"/>
      <c r="LWE220" s="67"/>
      <c r="LWF220" s="67"/>
      <c r="LWG220" s="31"/>
      <c r="LWH220" s="19"/>
      <c r="LWI220" s="67"/>
      <c r="LWJ220" s="67"/>
      <c r="LWK220" s="31"/>
      <c r="LWL220" s="19"/>
      <c r="LWM220" s="67"/>
      <c r="LWN220" s="67"/>
      <c r="LWO220" s="31"/>
      <c r="LWP220" s="19"/>
      <c r="LWQ220" s="67"/>
      <c r="LWR220" s="67"/>
      <c r="LWS220" s="31"/>
      <c r="LWT220" s="19"/>
      <c r="LWU220" s="67"/>
      <c r="LWV220" s="67"/>
      <c r="LWW220" s="31"/>
      <c r="LWX220" s="19"/>
      <c r="LWY220" s="67"/>
      <c r="LWZ220" s="67"/>
      <c r="LXA220" s="31"/>
      <c r="LXB220" s="19"/>
      <c r="LXC220" s="67"/>
      <c r="LXD220" s="67"/>
      <c r="LXE220" s="31"/>
      <c r="LXF220" s="19"/>
      <c r="LXG220" s="67"/>
      <c r="LXH220" s="67"/>
      <c r="LXI220" s="31"/>
      <c r="LXJ220" s="19"/>
      <c r="LXK220" s="67"/>
      <c r="LXL220" s="67"/>
      <c r="LXM220" s="31"/>
      <c r="LXN220" s="19"/>
      <c r="LXO220" s="67"/>
      <c r="LXP220" s="67"/>
      <c r="LXQ220" s="31"/>
      <c r="LXR220" s="19"/>
      <c r="LXS220" s="67"/>
      <c r="LXT220" s="67"/>
      <c r="LXU220" s="31"/>
      <c r="LXV220" s="19"/>
      <c r="LXW220" s="67"/>
      <c r="LXX220" s="67"/>
      <c r="LXY220" s="31"/>
      <c r="LXZ220" s="19"/>
      <c r="LYA220" s="67"/>
      <c r="LYB220" s="67"/>
      <c r="LYC220" s="31"/>
      <c r="LYD220" s="19"/>
      <c r="LYE220" s="67"/>
      <c r="LYF220" s="67"/>
      <c r="LYG220" s="31"/>
      <c r="LYH220" s="19"/>
      <c r="LYI220" s="67"/>
      <c r="LYJ220" s="67"/>
      <c r="LYK220" s="31"/>
      <c r="LYL220" s="19"/>
      <c r="LYM220" s="67"/>
      <c r="LYN220" s="67"/>
      <c r="LYO220" s="31"/>
      <c r="LYP220" s="19"/>
      <c r="LYQ220" s="67"/>
      <c r="LYR220" s="67"/>
      <c r="LYS220" s="31"/>
      <c r="LYT220" s="19"/>
      <c r="LYU220" s="67"/>
      <c r="LYV220" s="67"/>
      <c r="LYW220" s="31"/>
      <c r="LYX220" s="19"/>
      <c r="LYY220" s="67"/>
      <c r="LYZ220" s="67"/>
      <c r="LZA220" s="31"/>
      <c r="LZB220" s="19"/>
      <c r="LZC220" s="67"/>
      <c r="LZD220" s="67"/>
      <c r="LZE220" s="31"/>
      <c r="LZF220" s="19"/>
      <c r="LZG220" s="67"/>
      <c r="LZH220" s="67"/>
      <c r="LZI220" s="31"/>
      <c r="LZJ220" s="19"/>
      <c r="LZK220" s="67"/>
      <c r="LZL220" s="67"/>
      <c r="LZM220" s="31"/>
      <c r="LZN220" s="19"/>
      <c r="LZO220" s="67"/>
      <c r="LZP220" s="67"/>
      <c r="LZQ220" s="31"/>
      <c r="LZR220" s="19"/>
      <c r="LZS220" s="67"/>
      <c r="LZT220" s="67"/>
      <c r="LZU220" s="31"/>
      <c r="LZV220" s="19"/>
      <c r="LZW220" s="67"/>
      <c r="LZX220" s="67"/>
      <c r="LZY220" s="31"/>
      <c r="LZZ220" s="19"/>
      <c r="MAA220" s="67"/>
      <c r="MAB220" s="67"/>
      <c r="MAC220" s="31"/>
      <c r="MAD220" s="19"/>
      <c r="MAE220" s="67"/>
      <c r="MAF220" s="67"/>
      <c r="MAG220" s="31"/>
      <c r="MAH220" s="19"/>
      <c r="MAI220" s="67"/>
      <c r="MAJ220" s="67"/>
      <c r="MAK220" s="31"/>
      <c r="MAL220" s="19"/>
      <c r="MAM220" s="67"/>
      <c r="MAN220" s="67"/>
      <c r="MAO220" s="31"/>
      <c r="MAP220" s="19"/>
      <c r="MAQ220" s="67"/>
      <c r="MAR220" s="67"/>
      <c r="MAS220" s="31"/>
      <c r="MAT220" s="19"/>
      <c r="MAU220" s="67"/>
      <c r="MAV220" s="67"/>
      <c r="MAW220" s="31"/>
      <c r="MAX220" s="19"/>
      <c r="MAY220" s="67"/>
      <c r="MAZ220" s="67"/>
      <c r="MBA220" s="31"/>
      <c r="MBB220" s="19"/>
      <c r="MBC220" s="67"/>
      <c r="MBD220" s="67"/>
      <c r="MBE220" s="31"/>
      <c r="MBF220" s="19"/>
      <c r="MBG220" s="67"/>
      <c r="MBH220" s="67"/>
      <c r="MBI220" s="31"/>
      <c r="MBJ220" s="19"/>
      <c r="MBK220" s="67"/>
      <c r="MBL220" s="67"/>
      <c r="MBM220" s="31"/>
      <c r="MBN220" s="19"/>
      <c r="MBO220" s="67"/>
      <c r="MBP220" s="67"/>
      <c r="MBQ220" s="31"/>
      <c r="MBR220" s="19"/>
      <c r="MBS220" s="67"/>
      <c r="MBT220" s="67"/>
      <c r="MBU220" s="31"/>
      <c r="MBV220" s="19"/>
      <c r="MBW220" s="67"/>
      <c r="MBX220" s="67"/>
      <c r="MBY220" s="31"/>
      <c r="MBZ220" s="19"/>
      <c r="MCA220" s="67"/>
      <c r="MCB220" s="67"/>
      <c r="MCC220" s="31"/>
      <c r="MCD220" s="19"/>
      <c r="MCE220" s="67"/>
      <c r="MCF220" s="67"/>
      <c r="MCG220" s="31"/>
      <c r="MCH220" s="19"/>
      <c r="MCI220" s="67"/>
      <c r="MCJ220" s="67"/>
      <c r="MCK220" s="31"/>
      <c r="MCL220" s="19"/>
      <c r="MCM220" s="67"/>
      <c r="MCN220" s="67"/>
      <c r="MCO220" s="31"/>
      <c r="MCP220" s="19"/>
      <c r="MCQ220" s="67"/>
      <c r="MCR220" s="67"/>
      <c r="MCS220" s="31"/>
      <c r="MCT220" s="19"/>
      <c r="MCU220" s="67"/>
      <c r="MCV220" s="67"/>
      <c r="MCW220" s="31"/>
      <c r="MCX220" s="19"/>
      <c r="MCY220" s="67"/>
      <c r="MCZ220" s="67"/>
      <c r="MDA220" s="31"/>
      <c r="MDB220" s="19"/>
      <c r="MDC220" s="67"/>
      <c r="MDD220" s="67"/>
      <c r="MDE220" s="31"/>
      <c r="MDF220" s="19"/>
      <c r="MDG220" s="67"/>
      <c r="MDH220" s="67"/>
      <c r="MDI220" s="31"/>
      <c r="MDJ220" s="19"/>
      <c r="MDK220" s="67"/>
      <c r="MDL220" s="67"/>
      <c r="MDM220" s="31"/>
      <c r="MDN220" s="19"/>
      <c r="MDO220" s="67"/>
      <c r="MDP220" s="67"/>
      <c r="MDQ220" s="31"/>
      <c r="MDR220" s="19"/>
      <c r="MDS220" s="67"/>
      <c r="MDT220" s="67"/>
      <c r="MDU220" s="31"/>
      <c r="MDV220" s="19"/>
      <c r="MDW220" s="67"/>
      <c r="MDX220" s="67"/>
      <c r="MDY220" s="31"/>
      <c r="MDZ220" s="19"/>
      <c r="MEA220" s="67"/>
      <c r="MEB220" s="67"/>
      <c r="MEC220" s="31"/>
      <c r="MED220" s="19"/>
      <c r="MEE220" s="67"/>
      <c r="MEF220" s="67"/>
      <c r="MEG220" s="31"/>
      <c r="MEH220" s="19"/>
      <c r="MEI220" s="67"/>
      <c r="MEJ220" s="67"/>
      <c r="MEK220" s="31"/>
      <c r="MEL220" s="19"/>
      <c r="MEM220" s="67"/>
      <c r="MEN220" s="67"/>
      <c r="MEO220" s="31"/>
      <c r="MEP220" s="19"/>
      <c r="MEQ220" s="67"/>
      <c r="MER220" s="67"/>
      <c r="MES220" s="31"/>
      <c r="MET220" s="19"/>
      <c r="MEU220" s="67"/>
      <c r="MEV220" s="67"/>
      <c r="MEW220" s="31"/>
      <c r="MEX220" s="19"/>
      <c r="MEY220" s="67"/>
      <c r="MEZ220" s="67"/>
      <c r="MFA220" s="31"/>
      <c r="MFB220" s="19"/>
      <c r="MFC220" s="67"/>
      <c r="MFD220" s="67"/>
      <c r="MFE220" s="31"/>
      <c r="MFF220" s="19"/>
      <c r="MFG220" s="67"/>
      <c r="MFH220" s="67"/>
      <c r="MFI220" s="31"/>
      <c r="MFJ220" s="19"/>
      <c r="MFK220" s="67"/>
      <c r="MFL220" s="67"/>
      <c r="MFM220" s="31"/>
      <c r="MFN220" s="19"/>
      <c r="MFO220" s="67"/>
      <c r="MFP220" s="67"/>
      <c r="MFQ220" s="31"/>
      <c r="MFR220" s="19"/>
      <c r="MFS220" s="67"/>
      <c r="MFT220" s="67"/>
      <c r="MFU220" s="31"/>
      <c r="MFV220" s="19"/>
      <c r="MFW220" s="67"/>
      <c r="MFX220" s="67"/>
      <c r="MFY220" s="31"/>
      <c r="MFZ220" s="19"/>
      <c r="MGA220" s="67"/>
      <c r="MGB220" s="67"/>
      <c r="MGC220" s="31"/>
      <c r="MGD220" s="19"/>
      <c r="MGE220" s="67"/>
      <c r="MGF220" s="67"/>
      <c r="MGG220" s="31"/>
      <c r="MGH220" s="19"/>
      <c r="MGI220" s="67"/>
      <c r="MGJ220" s="67"/>
      <c r="MGK220" s="31"/>
      <c r="MGL220" s="19"/>
      <c r="MGM220" s="67"/>
      <c r="MGN220" s="67"/>
      <c r="MGO220" s="31"/>
      <c r="MGP220" s="19"/>
      <c r="MGQ220" s="67"/>
      <c r="MGR220" s="67"/>
      <c r="MGS220" s="31"/>
      <c r="MGT220" s="19"/>
      <c r="MGU220" s="67"/>
      <c r="MGV220" s="67"/>
      <c r="MGW220" s="31"/>
      <c r="MGX220" s="19"/>
      <c r="MGY220" s="67"/>
      <c r="MGZ220" s="67"/>
      <c r="MHA220" s="31"/>
      <c r="MHB220" s="19"/>
      <c r="MHC220" s="67"/>
      <c r="MHD220" s="67"/>
      <c r="MHE220" s="31"/>
      <c r="MHF220" s="19"/>
      <c r="MHG220" s="67"/>
      <c r="MHH220" s="67"/>
      <c r="MHI220" s="31"/>
      <c r="MHJ220" s="19"/>
      <c r="MHK220" s="67"/>
      <c r="MHL220" s="67"/>
      <c r="MHM220" s="31"/>
      <c r="MHN220" s="19"/>
      <c r="MHO220" s="67"/>
      <c r="MHP220" s="67"/>
      <c r="MHQ220" s="31"/>
      <c r="MHR220" s="19"/>
      <c r="MHS220" s="67"/>
      <c r="MHT220" s="67"/>
      <c r="MHU220" s="31"/>
      <c r="MHV220" s="19"/>
      <c r="MHW220" s="67"/>
      <c r="MHX220" s="67"/>
      <c r="MHY220" s="31"/>
      <c r="MHZ220" s="19"/>
      <c r="MIA220" s="67"/>
      <c r="MIB220" s="67"/>
      <c r="MIC220" s="31"/>
      <c r="MID220" s="19"/>
      <c r="MIE220" s="67"/>
      <c r="MIF220" s="67"/>
      <c r="MIG220" s="31"/>
      <c r="MIH220" s="19"/>
      <c r="MII220" s="67"/>
      <c r="MIJ220" s="67"/>
      <c r="MIK220" s="31"/>
      <c r="MIL220" s="19"/>
      <c r="MIM220" s="67"/>
      <c r="MIN220" s="67"/>
      <c r="MIO220" s="31"/>
      <c r="MIP220" s="19"/>
      <c r="MIQ220" s="67"/>
      <c r="MIR220" s="67"/>
      <c r="MIS220" s="31"/>
      <c r="MIT220" s="19"/>
      <c r="MIU220" s="67"/>
      <c r="MIV220" s="67"/>
      <c r="MIW220" s="31"/>
      <c r="MIX220" s="19"/>
      <c r="MIY220" s="67"/>
      <c r="MIZ220" s="67"/>
      <c r="MJA220" s="31"/>
      <c r="MJB220" s="19"/>
      <c r="MJC220" s="67"/>
      <c r="MJD220" s="67"/>
      <c r="MJE220" s="31"/>
      <c r="MJF220" s="19"/>
      <c r="MJG220" s="67"/>
      <c r="MJH220" s="67"/>
      <c r="MJI220" s="31"/>
      <c r="MJJ220" s="19"/>
      <c r="MJK220" s="67"/>
      <c r="MJL220" s="67"/>
      <c r="MJM220" s="31"/>
      <c r="MJN220" s="19"/>
      <c r="MJO220" s="67"/>
      <c r="MJP220" s="67"/>
      <c r="MJQ220" s="31"/>
      <c r="MJR220" s="19"/>
      <c r="MJS220" s="67"/>
      <c r="MJT220" s="67"/>
      <c r="MJU220" s="31"/>
      <c r="MJV220" s="19"/>
      <c r="MJW220" s="67"/>
      <c r="MJX220" s="67"/>
      <c r="MJY220" s="31"/>
      <c r="MJZ220" s="19"/>
      <c r="MKA220" s="67"/>
      <c r="MKB220" s="67"/>
      <c r="MKC220" s="31"/>
      <c r="MKD220" s="19"/>
      <c r="MKE220" s="67"/>
      <c r="MKF220" s="67"/>
      <c r="MKG220" s="31"/>
      <c r="MKH220" s="19"/>
      <c r="MKI220" s="67"/>
      <c r="MKJ220" s="67"/>
      <c r="MKK220" s="31"/>
      <c r="MKL220" s="19"/>
      <c r="MKM220" s="67"/>
      <c r="MKN220" s="67"/>
      <c r="MKO220" s="31"/>
      <c r="MKP220" s="19"/>
      <c r="MKQ220" s="67"/>
      <c r="MKR220" s="67"/>
      <c r="MKS220" s="31"/>
      <c r="MKT220" s="19"/>
      <c r="MKU220" s="67"/>
      <c r="MKV220" s="67"/>
      <c r="MKW220" s="31"/>
      <c r="MKX220" s="19"/>
      <c r="MKY220" s="67"/>
      <c r="MKZ220" s="67"/>
      <c r="MLA220" s="31"/>
      <c r="MLB220" s="19"/>
      <c r="MLC220" s="67"/>
      <c r="MLD220" s="67"/>
      <c r="MLE220" s="31"/>
      <c r="MLF220" s="19"/>
      <c r="MLG220" s="67"/>
      <c r="MLH220" s="67"/>
      <c r="MLI220" s="31"/>
      <c r="MLJ220" s="19"/>
      <c r="MLK220" s="67"/>
      <c r="MLL220" s="67"/>
      <c r="MLM220" s="31"/>
      <c r="MLN220" s="19"/>
      <c r="MLO220" s="67"/>
      <c r="MLP220" s="67"/>
      <c r="MLQ220" s="31"/>
      <c r="MLR220" s="19"/>
      <c r="MLS220" s="67"/>
      <c r="MLT220" s="67"/>
      <c r="MLU220" s="31"/>
      <c r="MLV220" s="19"/>
      <c r="MLW220" s="67"/>
      <c r="MLX220" s="67"/>
      <c r="MLY220" s="31"/>
      <c r="MLZ220" s="19"/>
      <c r="MMA220" s="67"/>
      <c r="MMB220" s="67"/>
      <c r="MMC220" s="31"/>
      <c r="MMD220" s="19"/>
      <c r="MME220" s="67"/>
      <c r="MMF220" s="67"/>
      <c r="MMG220" s="31"/>
      <c r="MMH220" s="19"/>
      <c r="MMI220" s="67"/>
      <c r="MMJ220" s="67"/>
      <c r="MMK220" s="31"/>
      <c r="MML220" s="19"/>
      <c r="MMM220" s="67"/>
      <c r="MMN220" s="67"/>
      <c r="MMO220" s="31"/>
      <c r="MMP220" s="19"/>
      <c r="MMQ220" s="67"/>
      <c r="MMR220" s="67"/>
      <c r="MMS220" s="31"/>
      <c r="MMT220" s="19"/>
      <c r="MMU220" s="67"/>
      <c r="MMV220" s="67"/>
      <c r="MMW220" s="31"/>
      <c r="MMX220" s="19"/>
      <c r="MMY220" s="67"/>
      <c r="MMZ220" s="67"/>
      <c r="MNA220" s="31"/>
      <c r="MNB220" s="19"/>
      <c r="MNC220" s="67"/>
      <c r="MND220" s="67"/>
      <c r="MNE220" s="31"/>
      <c r="MNF220" s="19"/>
      <c r="MNG220" s="67"/>
      <c r="MNH220" s="67"/>
      <c r="MNI220" s="31"/>
      <c r="MNJ220" s="19"/>
      <c r="MNK220" s="67"/>
      <c r="MNL220" s="67"/>
      <c r="MNM220" s="31"/>
      <c r="MNN220" s="19"/>
      <c r="MNO220" s="67"/>
      <c r="MNP220" s="67"/>
      <c r="MNQ220" s="31"/>
      <c r="MNR220" s="19"/>
      <c r="MNS220" s="67"/>
      <c r="MNT220" s="67"/>
      <c r="MNU220" s="31"/>
      <c r="MNV220" s="19"/>
      <c r="MNW220" s="67"/>
      <c r="MNX220" s="67"/>
      <c r="MNY220" s="31"/>
      <c r="MNZ220" s="19"/>
      <c r="MOA220" s="67"/>
      <c r="MOB220" s="67"/>
      <c r="MOC220" s="31"/>
      <c r="MOD220" s="19"/>
      <c r="MOE220" s="67"/>
      <c r="MOF220" s="67"/>
      <c r="MOG220" s="31"/>
      <c r="MOH220" s="19"/>
      <c r="MOI220" s="67"/>
      <c r="MOJ220" s="67"/>
      <c r="MOK220" s="31"/>
      <c r="MOL220" s="19"/>
      <c r="MOM220" s="67"/>
      <c r="MON220" s="67"/>
      <c r="MOO220" s="31"/>
      <c r="MOP220" s="19"/>
      <c r="MOQ220" s="67"/>
      <c r="MOR220" s="67"/>
      <c r="MOS220" s="31"/>
      <c r="MOT220" s="19"/>
      <c r="MOU220" s="67"/>
      <c r="MOV220" s="67"/>
      <c r="MOW220" s="31"/>
      <c r="MOX220" s="19"/>
      <c r="MOY220" s="67"/>
      <c r="MOZ220" s="67"/>
      <c r="MPA220" s="31"/>
      <c r="MPB220" s="19"/>
      <c r="MPC220" s="67"/>
      <c r="MPD220" s="67"/>
      <c r="MPE220" s="31"/>
      <c r="MPF220" s="19"/>
      <c r="MPG220" s="67"/>
      <c r="MPH220" s="67"/>
      <c r="MPI220" s="31"/>
      <c r="MPJ220" s="19"/>
      <c r="MPK220" s="67"/>
      <c r="MPL220" s="67"/>
      <c r="MPM220" s="31"/>
      <c r="MPN220" s="19"/>
      <c r="MPO220" s="67"/>
      <c r="MPP220" s="67"/>
      <c r="MPQ220" s="31"/>
      <c r="MPR220" s="19"/>
      <c r="MPS220" s="67"/>
      <c r="MPT220" s="67"/>
      <c r="MPU220" s="31"/>
      <c r="MPV220" s="19"/>
      <c r="MPW220" s="67"/>
      <c r="MPX220" s="67"/>
      <c r="MPY220" s="31"/>
      <c r="MPZ220" s="19"/>
      <c r="MQA220" s="67"/>
      <c r="MQB220" s="67"/>
      <c r="MQC220" s="31"/>
      <c r="MQD220" s="19"/>
      <c r="MQE220" s="67"/>
      <c r="MQF220" s="67"/>
      <c r="MQG220" s="31"/>
      <c r="MQH220" s="19"/>
      <c r="MQI220" s="67"/>
      <c r="MQJ220" s="67"/>
      <c r="MQK220" s="31"/>
      <c r="MQL220" s="19"/>
      <c r="MQM220" s="67"/>
      <c r="MQN220" s="67"/>
      <c r="MQO220" s="31"/>
      <c r="MQP220" s="19"/>
      <c r="MQQ220" s="67"/>
      <c r="MQR220" s="67"/>
      <c r="MQS220" s="31"/>
      <c r="MQT220" s="19"/>
      <c r="MQU220" s="67"/>
      <c r="MQV220" s="67"/>
      <c r="MQW220" s="31"/>
      <c r="MQX220" s="19"/>
      <c r="MQY220" s="67"/>
      <c r="MQZ220" s="67"/>
      <c r="MRA220" s="31"/>
      <c r="MRB220" s="19"/>
      <c r="MRC220" s="67"/>
      <c r="MRD220" s="67"/>
      <c r="MRE220" s="31"/>
      <c r="MRF220" s="19"/>
      <c r="MRG220" s="67"/>
      <c r="MRH220" s="67"/>
      <c r="MRI220" s="31"/>
      <c r="MRJ220" s="19"/>
      <c r="MRK220" s="67"/>
      <c r="MRL220" s="67"/>
      <c r="MRM220" s="31"/>
      <c r="MRN220" s="19"/>
      <c r="MRO220" s="67"/>
      <c r="MRP220" s="67"/>
      <c r="MRQ220" s="31"/>
      <c r="MRR220" s="19"/>
      <c r="MRS220" s="67"/>
      <c r="MRT220" s="67"/>
      <c r="MRU220" s="31"/>
      <c r="MRV220" s="19"/>
      <c r="MRW220" s="67"/>
      <c r="MRX220" s="67"/>
      <c r="MRY220" s="31"/>
      <c r="MRZ220" s="19"/>
      <c r="MSA220" s="67"/>
      <c r="MSB220" s="67"/>
      <c r="MSC220" s="31"/>
      <c r="MSD220" s="19"/>
      <c r="MSE220" s="67"/>
      <c r="MSF220" s="67"/>
      <c r="MSG220" s="31"/>
      <c r="MSH220" s="19"/>
      <c r="MSI220" s="67"/>
      <c r="MSJ220" s="67"/>
      <c r="MSK220" s="31"/>
      <c r="MSL220" s="19"/>
      <c r="MSM220" s="67"/>
      <c r="MSN220" s="67"/>
      <c r="MSO220" s="31"/>
      <c r="MSP220" s="19"/>
      <c r="MSQ220" s="67"/>
      <c r="MSR220" s="67"/>
      <c r="MSS220" s="31"/>
      <c r="MST220" s="19"/>
      <c r="MSU220" s="67"/>
      <c r="MSV220" s="67"/>
      <c r="MSW220" s="31"/>
      <c r="MSX220" s="19"/>
      <c r="MSY220" s="67"/>
      <c r="MSZ220" s="67"/>
      <c r="MTA220" s="31"/>
      <c r="MTB220" s="19"/>
      <c r="MTC220" s="67"/>
      <c r="MTD220" s="67"/>
      <c r="MTE220" s="31"/>
      <c r="MTF220" s="19"/>
      <c r="MTG220" s="67"/>
      <c r="MTH220" s="67"/>
      <c r="MTI220" s="31"/>
      <c r="MTJ220" s="19"/>
      <c r="MTK220" s="67"/>
      <c r="MTL220" s="67"/>
      <c r="MTM220" s="31"/>
      <c r="MTN220" s="19"/>
      <c r="MTO220" s="67"/>
      <c r="MTP220" s="67"/>
      <c r="MTQ220" s="31"/>
      <c r="MTR220" s="19"/>
      <c r="MTS220" s="67"/>
      <c r="MTT220" s="67"/>
      <c r="MTU220" s="31"/>
      <c r="MTV220" s="19"/>
      <c r="MTW220" s="67"/>
      <c r="MTX220" s="67"/>
      <c r="MTY220" s="31"/>
      <c r="MTZ220" s="19"/>
      <c r="MUA220" s="67"/>
      <c r="MUB220" s="67"/>
      <c r="MUC220" s="31"/>
      <c r="MUD220" s="19"/>
      <c r="MUE220" s="67"/>
      <c r="MUF220" s="67"/>
      <c r="MUG220" s="31"/>
      <c r="MUH220" s="19"/>
      <c r="MUI220" s="67"/>
      <c r="MUJ220" s="67"/>
      <c r="MUK220" s="31"/>
      <c r="MUL220" s="19"/>
      <c r="MUM220" s="67"/>
      <c r="MUN220" s="67"/>
      <c r="MUO220" s="31"/>
      <c r="MUP220" s="19"/>
      <c r="MUQ220" s="67"/>
      <c r="MUR220" s="67"/>
      <c r="MUS220" s="31"/>
      <c r="MUT220" s="19"/>
      <c r="MUU220" s="67"/>
      <c r="MUV220" s="67"/>
      <c r="MUW220" s="31"/>
      <c r="MUX220" s="19"/>
      <c r="MUY220" s="67"/>
      <c r="MUZ220" s="67"/>
      <c r="MVA220" s="31"/>
      <c r="MVB220" s="19"/>
      <c r="MVC220" s="67"/>
      <c r="MVD220" s="67"/>
      <c r="MVE220" s="31"/>
      <c r="MVF220" s="19"/>
      <c r="MVG220" s="67"/>
      <c r="MVH220" s="67"/>
      <c r="MVI220" s="31"/>
      <c r="MVJ220" s="19"/>
      <c r="MVK220" s="67"/>
      <c r="MVL220" s="67"/>
      <c r="MVM220" s="31"/>
      <c r="MVN220" s="19"/>
      <c r="MVO220" s="67"/>
      <c r="MVP220" s="67"/>
      <c r="MVQ220" s="31"/>
      <c r="MVR220" s="19"/>
      <c r="MVS220" s="67"/>
      <c r="MVT220" s="67"/>
      <c r="MVU220" s="31"/>
      <c r="MVV220" s="19"/>
      <c r="MVW220" s="67"/>
      <c r="MVX220" s="67"/>
      <c r="MVY220" s="31"/>
      <c r="MVZ220" s="19"/>
      <c r="MWA220" s="67"/>
      <c r="MWB220" s="67"/>
      <c r="MWC220" s="31"/>
      <c r="MWD220" s="19"/>
      <c r="MWE220" s="67"/>
      <c r="MWF220" s="67"/>
      <c r="MWG220" s="31"/>
      <c r="MWH220" s="19"/>
      <c r="MWI220" s="67"/>
      <c r="MWJ220" s="67"/>
      <c r="MWK220" s="31"/>
      <c r="MWL220" s="19"/>
      <c r="MWM220" s="67"/>
      <c r="MWN220" s="67"/>
      <c r="MWO220" s="31"/>
      <c r="MWP220" s="19"/>
      <c r="MWQ220" s="67"/>
      <c r="MWR220" s="67"/>
      <c r="MWS220" s="31"/>
      <c r="MWT220" s="19"/>
      <c r="MWU220" s="67"/>
      <c r="MWV220" s="67"/>
      <c r="MWW220" s="31"/>
      <c r="MWX220" s="19"/>
      <c r="MWY220" s="67"/>
      <c r="MWZ220" s="67"/>
      <c r="MXA220" s="31"/>
      <c r="MXB220" s="19"/>
      <c r="MXC220" s="67"/>
      <c r="MXD220" s="67"/>
      <c r="MXE220" s="31"/>
      <c r="MXF220" s="19"/>
      <c r="MXG220" s="67"/>
      <c r="MXH220" s="67"/>
      <c r="MXI220" s="31"/>
      <c r="MXJ220" s="19"/>
      <c r="MXK220" s="67"/>
      <c r="MXL220" s="67"/>
      <c r="MXM220" s="31"/>
      <c r="MXN220" s="19"/>
      <c r="MXO220" s="67"/>
      <c r="MXP220" s="67"/>
      <c r="MXQ220" s="31"/>
      <c r="MXR220" s="19"/>
      <c r="MXS220" s="67"/>
      <c r="MXT220" s="67"/>
      <c r="MXU220" s="31"/>
      <c r="MXV220" s="19"/>
      <c r="MXW220" s="67"/>
      <c r="MXX220" s="67"/>
      <c r="MXY220" s="31"/>
      <c r="MXZ220" s="19"/>
      <c r="MYA220" s="67"/>
      <c r="MYB220" s="67"/>
      <c r="MYC220" s="31"/>
      <c r="MYD220" s="19"/>
      <c r="MYE220" s="67"/>
      <c r="MYF220" s="67"/>
      <c r="MYG220" s="31"/>
      <c r="MYH220" s="19"/>
      <c r="MYI220" s="67"/>
      <c r="MYJ220" s="67"/>
      <c r="MYK220" s="31"/>
      <c r="MYL220" s="19"/>
      <c r="MYM220" s="67"/>
      <c r="MYN220" s="67"/>
      <c r="MYO220" s="31"/>
      <c r="MYP220" s="19"/>
      <c r="MYQ220" s="67"/>
      <c r="MYR220" s="67"/>
      <c r="MYS220" s="31"/>
      <c r="MYT220" s="19"/>
      <c r="MYU220" s="67"/>
      <c r="MYV220" s="67"/>
      <c r="MYW220" s="31"/>
      <c r="MYX220" s="19"/>
      <c r="MYY220" s="67"/>
      <c r="MYZ220" s="67"/>
      <c r="MZA220" s="31"/>
      <c r="MZB220" s="19"/>
      <c r="MZC220" s="67"/>
      <c r="MZD220" s="67"/>
      <c r="MZE220" s="31"/>
      <c r="MZF220" s="19"/>
      <c r="MZG220" s="67"/>
      <c r="MZH220" s="67"/>
      <c r="MZI220" s="31"/>
      <c r="MZJ220" s="19"/>
      <c r="MZK220" s="67"/>
      <c r="MZL220" s="67"/>
      <c r="MZM220" s="31"/>
      <c r="MZN220" s="19"/>
      <c r="MZO220" s="67"/>
      <c r="MZP220" s="67"/>
      <c r="MZQ220" s="31"/>
      <c r="MZR220" s="19"/>
      <c r="MZS220" s="67"/>
      <c r="MZT220" s="67"/>
      <c r="MZU220" s="31"/>
      <c r="MZV220" s="19"/>
      <c r="MZW220" s="67"/>
      <c r="MZX220" s="67"/>
      <c r="MZY220" s="31"/>
      <c r="MZZ220" s="19"/>
      <c r="NAA220" s="67"/>
      <c r="NAB220" s="67"/>
      <c r="NAC220" s="31"/>
      <c r="NAD220" s="19"/>
      <c r="NAE220" s="67"/>
      <c r="NAF220" s="67"/>
      <c r="NAG220" s="31"/>
      <c r="NAH220" s="19"/>
      <c r="NAI220" s="67"/>
      <c r="NAJ220" s="67"/>
      <c r="NAK220" s="31"/>
      <c r="NAL220" s="19"/>
      <c r="NAM220" s="67"/>
      <c r="NAN220" s="67"/>
      <c r="NAO220" s="31"/>
      <c r="NAP220" s="19"/>
      <c r="NAQ220" s="67"/>
      <c r="NAR220" s="67"/>
      <c r="NAS220" s="31"/>
      <c r="NAT220" s="19"/>
      <c r="NAU220" s="67"/>
      <c r="NAV220" s="67"/>
      <c r="NAW220" s="31"/>
      <c r="NAX220" s="19"/>
      <c r="NAY220" s="67"/>
      <c r="NAZ220" s="67"/>
      <c r="NBA220" s="31"/>
      <c r="NBB220" s="19"/>
      <c r="NBC220" s="67"/>
      <c r="NBD220" s="67"/>
      <c r="NBE220" s="31"/>
      <c r="NBF220" s="19"/>
      <c r="NBG220" s="67"/>
      <c r="NBH220" s="67"/>
      <c r="NBI220" s="31"/>
      <c r="NBJ220" s="19"/>
      <c r="NBK220" s="67"/>
      <c r="NBL220" s="67"/>
      <c r="NBM220" s="31"/>
      <c r="NBN220" s="19"/>
      <c r="NBO220" s="67"/>
      <c r="NBP220" s="67"/>
      <c r="NBQ220" s="31"/>
      <c r="NBR220" s="19"/>
      <c r="NBS220" s="67"/>
      <c r="NBT220" s="67"/>
      <c r="NBU220" s="31"/>
      <c r="NBV220" s="19"/>
      <c r="NBW220" s="67"/>
      <c r="NBX220" s="67"/>
      <c r="NBY220" s="31"/>
      <c r="NBZ220" s="19"/>
      <c r="NCA220" s="67"/>
      <c r="NCB220" s="67"/>
      <c r="NCC220" s="31"/>
      <c r="NCD220" s="19"/>
      <c r="NCE220" s="67"/>
      <c r="NCF220" s="67"/>
      <c r="NCG220" s="31"/>
      <c r="NCH220" s="19"/>
      <c r="NCI220" s="67"/>
      <c r="NCJ220" s="67"/>
      <c r="NCK220" s="31"/>
      <c r="NCL220" s="19"/>
      <c r="NCM220" s="67"/>
      <c r="NCN220" s="67"/>
      <c r="NCO220" s="31"/>
      <c r="NCP220" s="19"/>
      <c r="NCQ220" s="67"/>
      <c r="NCR220" s="67"/>
      <c r="NCS220" s="31"/>
      <c r="NCT220" s="19"/>
      <c r="NCU220" s="67"/>
      <c r="NCV220" s="67"/>
      <c r="NCW220" s="31"/>
      <c r="NCX220" s="19"/>
      <c r="NCY220" s="67"/>
      <c r="NCZ220" s="67"/>
      <c r="NDA220" s="31"/>
      <c r="NDB220" s="19"/>
      <c r="NDC220" s="67"/>
      <c r="NDD220" s="67"/>
      <c r="NDE220" s="31"/>
      <c r="NDF220" s="19"/>
      <c r="NDG220" s="67"/>
      <c r="NDH220" s="67"/>
      <c r="NDI220" s="31"/>
      <c r="NDJ220" s="19"/>
      <c r="NDK220" s="67"/>
      <c r="NDL220" s="67"/>
      <c r="NDM220" s="31"/>
      <c r="NDN220" s="19"/>
      <c r="NDO220" s="67"/>
      <c r="NDP220" s="67"/>
      <c r="NDQ220" s="31"/>
      <c r="NDR220" s="19"/>
      <c r="NDS220" s="67"/>
      <c r="NDT220" s="67"/>
      <c r="NDU220" s="31"/>
      <c r="NDV220" s="19"/>
      <c r="NDW220" s="67"/>
      <c r="NDX220" s="67"/>
      <c r="NDY220" s="31"/>
      <c r="NDZ220" s="19"/>
      <c r="NEA220" s="67"/>
      <c r="NEB220" s="67"/>
      <c r="NEC220" s="31"/>
      <c r="NED220" s="19"/>
      <c r="NEE220" s="67"/>
      <c r="NEF220" s="67"/>
      <c r="NEG220" s="31"/>
      <c r="NEH220" s="19"/>
      <c r="NEI220" s="67"/>
      <c r="NEJ220" s="67"/>
      <c r="NEK220" s="31"/>
      <c r="NEL220" s="19"/>
      <c r="NEM220" s="67"/>
      <c r="NEN220" s="67"/>
      <c r="NEO220" s="31"/>
      <c r="NEP220" s="19"/>
      <c r="NEQ220" s="67"/>
      <c r="NER220" s="67"/>
      <c r="NES220" s="31"/>
      <c r="NET220" s="19"/>
      <c r="NEU220" s="67"/>
      <c r="NEV220" s="67"/>
      <c r="NEW220" s="31"/>
      <c r="NEX220" s="19"/>
      <c r="NEY220" s="67"/>
      <c r="NEZ220" s="67"/>
      <c r="NFA220" s="31"/>
      <c r="NFB220" s="19"/>
      <c r="NFC220" s="67"/>
      <c r="NFD220" s="67"/>
      <c r="NFE220" s="31"/>
      <c r="NFF220" s="19"/>
      <c r="NFG220" s="67"/>
      <c r="NFH220" s="67"/>
      <c r="NFI220" s="31"/>
      <c r="NFJ220" s="19"/>
      <c r="NFK220" s="67"/>
      <c r="NFL220" s="67"/>
      <c r="NFM220" s="31"/>
      <c r="NFN220" s="19"/>
      <c r="NFO220" s="67"/>
      <c r="NFP220" s="67"/>
      <c r="NFQ220" s="31"/>
      <c r="NFR220" s="19"/>
      <c r="NFS220" s="67"/>
      <c r="NFT220" s="67"/>
      <c r="NFU220" s="31"/>
      <c r="NFV220" s="19"/>
      <c r="NFW220" s="67"/>
      <c r="NFX220" s="67"/>
      <c r="NFY220" s="31"/>
      <c r="NFZ220" s="19"/>
      <c r="NGA220" s="67"/>
      <c r="NGB220" s="67"/>
      <c r="NGC220" s="31"/>
      <c r="NGD220" s="19"/>
      <c r="NGE220" s="67"/>
      <c r="NGF220" s="67"/>
      <c r="NGG220" s="31"/>
      <c r="NGH220" s="19"/>
      <c r="NGI220" s="67"/>
      <c r="NGJ220" s="67"/>
      <c r="NGK220" s="31"/>
      <c r="NGL220" s="19"/>
      <c r="NGM220" s="67"/>
      <c r="NGN220" s="67"/>
      <c r="NGO220" s="31"/>
      <c r="NGP220" s="19"/>
      <c r="NGQ220" s="67"/>
      <c r="NGR220" s="67"/>
      <c r="NGS220" s="31"/>
      <c r="NGT220" s="19"/>
      <c r="NGU220" s="67"/>
      <c r="NGV220" s="67"/>
      <c r="NGW220" s="31"/>
      <c r="NGX220" s="19"/>
      <c r="NGY220" s="67"/>
      <c r="NGZ220" s="67"/>
      <c r="NHA220" s="31"/>
      <c r="NHB220" s="19"/>
      <c r="NHC220" s="67"/>
      <c r="NHD220" s="67"/>
      <c r="NHE220" s="31"/>
      <c r="NHF220" s="19"/>
      <c r="NHG220" s="67"/>
      <c r="NHH220" s="67"/>
      <c r="NHI220" s="31"/>
      <c r="NHJ220" s="19"/>
      <c r="NHK220" s="67"/>
      <c r="NHL220" s="67"/>
      <c r="NHM220" s="31"/>
      <c r="NHN220" s="19"/>
      <c r="NHO220" s="67"/>
      <c r="NHP220" s="67"/>
      <c r="NHQ220" s="31"/>
      <c r="NHR220" s="19"/>
      <c r="NHS220" s="67"/>
      <c r="NHT220" s="67"/>
      <c r="NHU220" s="31"/>
      <c r="NHV220" s="19"/>
      <c r="NHW220" s="67"/>
      <c r="NHX220" s="67"/>
      <c r="NHY220" s="31"/>
      <c r="NHZ220" s="19"/>
      <c r="NIA220" s="67"/>
      <c r="NIB220" s="67"/>
      <c r="NIC220" s="31"/>
      <c r="NID220" s="19"/>
      <c r="NIE220" s="67"/>
      <c r="NIF220" s="67"/>
      <c r="NIG220" s="31"/>
      <c r="NIH220" s="19"/>
      <c r="NII220" s="67"/>
      <c r="NIJ220" s="67"/>
      <c r="NIK220" s="31"/>
      <c r="NIL220" s="19"/>
      <c r="NIM220" s="67"/>
      <c r="NIN220" s="67"/>
      <c r="NIO220" s="31"/>
      <c r="NIP220" s="19"/>
      <c r="NIQ220" s="67"/>
      <c r="NIR220" s="67"/>
      <c r="NIS220" s="31"/>
      <c r="NIT220" s="19"/>
      <c r="NIU220" s="67"/>
      <c r="NIV220" s="67"/>
      <c r="NIW220" s="31"/>
      <c r="NIX220" s="19"/>
      <c r="NIY220" s="67"/>
      <c r="NIZ220" s="67"/>
      <c r="NJA220" s="31"/>
      <c r="NJB220" s="19"/>
      <c r="NJC220" s="67"/>
      <c r="NJD220" s="67"/>
      <c r="NJE220" s="31"/>
      <c r="NJF220" s="19"/>
      <c r="NJG220" s="67"/>
      <c r="NJH220" s="67"/>
      <c r="NJI220" s="31"/>
      <c r="NJJ220" s="19"/>
      <c r="NJK220" s="67"/>
      <c r="NJL220" s="67"/>
      <c r="NJM220" s="31"/>
      <c r="NJN220" s="19"/>
      <c r="NJO220" s="67"/>
      <c r="NJP220" s="67"/>
      <c r="NJQ220" s="31"/>
      <c r="NJR220" s="19"/>
      <c r="NJS220" s="67"/>
      <c r="NJT220" s="67"/>
      <c r="NJU220" s="31"/>
      <c r="NJV220" s="19"/>
      <c r="NJW220" s="67"/>
      <c r="NJX220" s="67"/>
      <c r="NJY220" s="31"/>
      <c r="NJZ220" s="19"/>
      <c r="NKA220" s="67"/>
      <c r="NKB220" s="67"/>
      <c r="NKC220" s="31"/>
      <c r="NKD220" s="19"/>
      <c r="NKE220" s="67"/>
      <c r="NKF220" s="67"/>
      <c r="NKG220" s="31"/>
      <c r="NKH220" s="19"/>
      <c r="NKI220" s="67"/>
      <c r="NKJ220" s="67"/>
      <c r="NKK220" s="31"/>
      <c r="NKL220" s="19"/>
      <c r="NKM220" s="67"/>
      <c r="NKN220" s="67"/>
      <c r="NKO220" s="31"/>
      <c r="NKP220" s="19"/>
      <c r="NKQ220" s="67"/>
      <c r="NKR220" s="67"/>
      <c r="NKS220" s="31"/>
      <c r="NKT220" s="19"/>
      <c r="NKU220" s="67"/>
      <c r="NKV220" s="67"/>
      <c r="NKW220" s="31"/>
      <c r="NKX220" s="19"/>
      <c r="NKY220" s="67"/>
      <c r="NKZ220" s="67"/>
      <c r="NLA220" s="31"/>
      <c r="NLB220" s="19"/>
      <c r="NLC220" s="67"/>
      <c r="NLD220" s="67"/>
      <c r="NLE220" s="31"/>
      <c r="NLF220" s="19"/>
      <c r="NLG220" s="67"/>
      <c r="NLH220" s="67"/>
      <c r="NLI220" s="31"/>
      <c r="NLJ220" s="19"/>
      <c r="NLK220" s="67"/>
      <c r="NLL220" s="67"/>
      <c r="NLM220" s="31"/>
      <c r="NLN220" s="19"/>
      <c r="NLO220" s="67"/>
      <c r="NLP220" s="67"/>
      <c r="NLQ220" s="31"/>
      <c r="NLR220" s="19"/>
      <c r="NLS220" s="67"/>
      <c r="NLT220" s="67"/>
      <c r="NLU220" s="31"/>
      <c r="NLV220" s="19"/>
      <c r="NLW220" s="67"/>
      <c r="NLX220" s="67"/>
      <c r="NLY220" s="31"/>
      <c r="NLZ220" s="19"/>
      <c r="NMA220" s="67"/>
      <c r="NMB220" s="67"/>
      <c r="NMC220" s="31"/>
      <c r="NMD220" s="19"/>
      <c r="NME220" s="67"/>
      <c r="NMF220" s="67"/>
      <c r="NMG220" s="31"/>
      <c r="NMH220" s="19"/>
      <c r="NMI220" s="67"/>
      <c r="NMJ220" s="67"/>
      <c r="NMK220" s="31"/>
      <c r="NML220" s="19"/>
      <c r="NMM220" s="67"/>
      <c r="NMN220" s="67"/>
      <c r="NMO220" s="31"/>
      <c r="NMP220" s="19"/>
      <c r="NMQ220" s="67"/>
      <c r="NMR220" s="67"/>
      <c r="NMS220" s="31"/>
      <c r="NMT220" s="19"/>
      <c r="NMU220" s="67"/>
      <c r="NMV220" s="67"/>
      <c r="NMW220" s="31"/>
      <c r="NMX220" s="19"/>
      <c r="NMY220" s="67"/>
      <c r="NMZ220" s="67"/>
      <c r="NNA220" s="31"/>
      <c r="NNB220" s="19"/>
      <c r="NNC220" s="67"/>
      <c r="NND220" s="67"/>
      <c r="NNE220" s="31"/>
      <c r="NNF220" s="19"/>
      <c r="NNG220" s="67"/>
      <c r="NNH220" s="67"/>
      <c r="NNI220" s="31"/>
      <c r="NNJ220" s="19"/>
      <c r="NNK220" s="67"/>
      <c r="NNL220" s="67"/>
      <c r="NNM220" s="31"/>
      <c r="NNN220" s="19"/>
      <c r="NNO220" s="67"/>
      <c r="NNP220" s="67"/>
      <c r="NNQ220" s="31"/>
      <c r="NNR220" s="19"/>
      <c r="NNS220" s="67"/>
      <c r="NNT220" s="67"/>
      <c r="NNU220" s="31"/>
      <c r="NNV220" s="19"/>
      <c r="NNW220" s="67"/>
      <c r="NNX220" s="67"/>
      <c r="NNY220" s="31"/>
      <c r="NNZ220" s="19"/>
      <c r="NOA220" s="67"/>
      <c r="NOB220" s="67"/>
      <c r="NOC220" s="31"/>
      <c r="NOD220" s="19"/>
      <c r="NOE220" s="67"/>
      <c r="NOF220" s="67"/>
      <c r="NOG220" s="31"/>
      <c r="NOH220" s="19"/>
      <c r="NOI220" s="67"/>
      <c r="NOJ220" s="67"/>
      <c r="NOK220" s="31"/>
      <c r="NOL220" s="19"/>
      <c r="NOM220" s="67"/>
      <c r="NON220" s="67"/>
      <c r="NOO220" s="31"/>
      <c r="NOP220" s="19"/>
      <c r="NOQ220" s="67"/>
      <c r="NOR220" s="67"/>
      <c r="NOS220" s="31"/>
      <c r="NOT220" s="19"/>
      <c r="NOU220" s="67"/>
      <c r="NOV220" s="67"/>
      <c r="NOW220" s="31"/>
      <c r="NOX220" s="19"/>
      <c r="NOY220" s="67"/>
      <c r="NOZ220" s="67"/>
      <c r="NPA220" s="31"/>
      <c r="NPB220" s="19"/>
      <c r="NPC220" s="67"/>
      <c r="NPD220" s="67"/>
      <c r="NPE220" s="31"/>
      <c r="NPF220" s="19"/>
      <c r="NPG220" s="67"/>
      <c r="NPH220" s="67"/>
      <c r="NPI220" s="31"/>
      <c r="NPJ220" s="19"/>
      <c r="NPK220" s="67"/>
      <c r="NPL220" s="67"/>
      <c r="NPM220" s="31"/>
      <c r="NPN220" s="19"/>
      <c r="NPO220" s="67"/>
      <c r="NPP220" s="67"/>
      <c r="NPQ220" s="31"/>
      <c r="NPR220" s="19"/>
      <c r="NPS220" s="67"/>
      <c r="NPT220" s="67"/>
      <c r="NPU220" s="31"/>
      <c r="NPV220" s="19"/>
      <c r="NPW220" s="67"/>
      <c r="NPX220" s="67"/>
      <c r="NPY220" s="31"/>
      <c r="NPZ220" s="19"/>
      <c r="NQA220" s="67"/>
      <c r="NQB220" s="67"/>
      <c r="NQC220" s="31"/>
      <c r="NQD220" s="19"/>
      <c r="NQE220" s="67"/>
      <c r="NQF220" s="67"/>
      <c r="NQG220" s="31"/>
      <c r="NQH220" s="19"/>
      <c r="NQI220" s="67"/>
      <c r="NQJ220" s="67"/>
      <c r="NQK220" s="31"/>
      <c r="NQL220" s="19"/>
      <c r="NQM220" s="67"/>
      <c r="NQN220" s="67"/>
      <c r="NQO220" s="31"/>
      <c r="NQP220" s="19"/>
      <c r="NQQ220" s="67"/>
      <c r="NQR220" s="67"/>
      <c r="NQS220" s="31"/>
      <c r="NQT220" s="19"/>
      <c r="NQU220" s="67"/>
      <c r="NQV220" s="67"/>
      <c r="NQW220" s="31"/>
      <c r="NQX220" s="19"/>
      <c r="NQY220" s="67"/>
      <c r="NQZ220" s="67"/>
      <c r="NRA220" s="31"/>
      <c r="NRB220" s="19"/>
      <c r="NRC220" s="67"/>
      <c r="NRD220" s="67"/>
      <c r="NRE220" s="31"/>
      <c r="NRF220" s="19"/>
      <c r="NRG220" s="67"/>
      <c r="NRH220" s="67"/>
      <c r="NRI220" s="31"/>
      <c r="NRJ220" s="19"/>
      <c r="NRK220" s="67"/>
      <c r="NRL220" s="67"/>
      <c r="NRM220" s="31"/>
      <c r="NRN220" s="19"/>
      <c r="NRO220" s="67"/>
      <c r="NRP220" s="67"/>
      <c r="NRQ220" s="31"/>
      <c r="NRR220" s="19"/>
      <c r="NRS220" s="67"/>
      <c r="NRT220" s="67"/>
      <c r="NRU220" s="31"/>
      <c r="NRV220" s="19"/>
      <c r="NRW220" s="67"/>
      <c r="NRX220" s="67"/>
      <c r="NRY220" s="31"/>
      <c r="NRZ220" s="19"/>
      <c r="NSA220" s="67"/>
      <c r="NSB220" s="67"/>
      <c r="NSC220" s="31"/>
      <c r="NSD220" s="19"/>
      <c r="NSE220" s="67"/>
      <c r="NSF220" s="67"/>
      <c r="NSG220" s="31"/>
      <c r="NSH220" s="19"/>
      <c r="NSI220" s="67"/>
      <c r="NSJ220" s="67"/>
      <c r="NSK220" s="31"/>
      <c r="NSL220" s="19"/>
      <c r="NSM220" s="67"/>
      <c r="NSN220" s="67"/>
      <c r="NSO220" s="31"/>
      <c r="NSP220" s="19"/>
      <c r="NSQ220" s="67"/>
      <c r="NSR220" s="67"/>
      <c r="NSS220" s="31"/>
      <c r="NST220" s="19"/>
      <c r="NSU220" s="67"/>
      <c r="NSV220" s="67"/>
      <c r="NSW220" s="31"/>
      <c r="NSX220" s="19"/>
      <c r="NSY220" s="67"/>
      <c r="NSZ220" s="67"/>
      <c r="NTA220" s="31"/>
      <c r="NTB220" s="19"/>
      <c r="NTC220" s="67"/>
      <c r="NTD220" s="67"/>
      <c r="NTE220" s="31"/>
      <c r="NTF220" s="19"/>
      <c r="NTG220" s="67"/>
      <c r="NTH220" s="67"/>
      <c r="NTI220" s="31"/>
      <c r="NTJ220" s="19"/>
      <c r="NTK220" s="67"/>
      <c r="NTL220" s="67"/>
      <c r="NTM220" s="31"/>
      <c r="NTN220" s="19"/>
      <c r="NTO220" s="67"/>
      <c r="NTP220" s="67"/>
      <c r="NTQ220" s="31"/>
      <c r="NTR220" s="19"/>
      <c r="NTS220" s="67"/>
      <c r="NTT220" s="67"/>
      <c r="NTU220" s="31"/>
      <c r="NTV220" s="19"/>
      <c r="NTW220" s="67"/>
      <c r="NTX220" s="67"/>
      <c r="NTY220" s="31"/>
      <c r="NTZ220" s="19"/>
      <c r="NUA220" s="67"/>
      <c r="NUB220" s="67"/>
      <c r="NUC220" s="31"/>
      <c r="NUD220" s="19"/>
      <c r="NUE220" s="67"/>
      <c r="NUF220" s="67"/>
      <c r="NUG220" s="31"/>
      <c r="NUH220" s="19"/>
      <c r="NUI220" s="67"/>
      <c r="NUJ220" s="67"/>
      <c r="NUK220" s="31"/>
      <c r="NUL220" s="19"/>
      <c r="NUM220" s="67"/>
      <c r="NUN220" s="67"/>
      <c r="NUO220" s="31"/>
      <c r="NUP220" s="19"/>
      <c r="NUQ220" s="67"/>
      <c r="NUR220" s="67"/>
      <c r="NUS220" s="31"/>
      <c r="NUT220" s="19"/>
      <c r="NUU220" s="67"/>
      <c r="NUV220" s="67"/>
      <c r="NUW220" s="31"/>
      <c r="NUX220" s="19"/>
      <c r="NUY220" s="67"/>
      <c r="NUZ220" s="67"/>
      <c r="NVA220" s="31"/>
      <c r="NVB220" s="19"/>
      <c r="NVC220" s="67"/>
      <c r="NVD220" s="67"/>
      <c r="NVE220" s="31"/>
      <c r="NVF220" s="19"/>
      <c r="NVG220" s="67"/>
      <c r="NVH220" s="67"/>
      <c r="NVI220" s="31"/>
      <c r="NVJ220" s="19"/>
      <c r="NVK220" s="67"/>
      <c r="NVL220" s="67"/>
      <c r="NVM220" s="31"/>
      <c r="NVN220" s="19"/>
      <c r="NVO220" s="67"/>
      <c r="NVP220" s="67"/>
      <c r="NVQ220" s="31"/>
      <c r="NVR220" s="19"/>
      <c r="NVS220" s="67"/>
      <c r="NVT220" s="67"/>
      <c r="NVU220" s="31"/>
      <c r="NVV220" s="19"/>
      <c r="NVW220" s="67"/>
      <c r="NVX220" s="67"/>
      <c r="NVY220" s="31"/>
      <c r="NVZ220" s="19"/>
      <c r="NWA220" s="67"/>
      <c r="NWB220" s="67"/>
      <c r="NWC220" s="31"/>
      <c r="NWD220" s="19"/>
      <c r="NWE220" s="67"/>
      <c r="NWF220" s="67"/>
      <c r="NWG220" s="31"/>
      <c r="NWH220" s="19"/>
      <c r="NWI220" s="67"/>
      <c r="NWJ220" s="67"/>
      <c r="NWK220" s="31"/>
      <c r="NWL220" s="19"/>
      <c r="NWM220" s="67"/>
      <c r="NWN220" s="67"/>
      <c r="NWO220" s="31"/>
      <c r="NWP220" s="19"/>
      <c r="NWQ220" s="67"/>
      <c r="NWR220" s="67"/>
      <c r="NWS220" s="31"/>
      <c r="NWT220" s="19"/>
      <c r="NWU220" s="67"/>
      <c r="NWV220" s="67"/>
      <c r="NWW220" s="31"/>
      <c r="NWX220" s="19"/>
      <c r="NWY220" s="67"/>
      <c r="NWZ220" s="67"/>
      <c r="NXA220" s="31"/>
      <c r="NXB220" s="19"/>
      <c r="NXC220" s="67"/>
      <c r="NXD220" s="67"/>
      <c r="NXE220" s="31"/>
      <c r="NXF220" s="19"/>
      <c r="NXG220" s="67"/>
      <c r="NXH220" s="67"/>
      <c r="NXI220" s="31"/>
      <c r="NXJ220" s="19"/>
      <c r="NXK220" s="67"/>
      <c r="NXL220" s="67"/>
      <c r="NXM220" s="31"/>
      <c r="NXN220" s="19"/>
      <c r="NXO220" s="67"/>
      <c r="NXP220" s="67"/>
      <c r="NXQ220" s="31"/>
      <c r="NXR220" s="19"/>
      <c r="NXS220" s="67"/>
      <c r="NXT220" s="67"/>
      <c r="NXU220" s="31"/>
      <c r="NXV220" s="19"/>
      <c r="NXW220" s="67"/>
      <c r="NXX220" s="67"/>
      <c r="NXY220" s="31"/>
      <c r="NXZ220" s="19"/>
      <c r="NYA220" s="67"/>
      <c r="NYB220" s="67"/>
      <c r="NYC220" s="31"/>
      <c r="NYD220" s="19"/>
      <c r="NYE220" s="67"/>
      <c r="NYF220" s="67"/>
      <c r="NYG220" s="31"/>
      <c r="NYH220" s="19"/>
      <c r="NYI220" s="67"/>
      <c r="NYJ220" s="67"/>
      <c r="NYK220" s="31"/>
      <c r="NYL220" s="19"/>
      <c r="NYM220" s="67"/>
      <c r="NYN220" s="67"/>
      <c r="NYO220" s="31"/>
      <c r="NYP220" s="19"/>
      <c r="NYQ220" s="67"/>
      <c r="NYR220" s="67"/>
      <c r="NYS220" s="31"/>
      <c r="NYT220" s="19"/>
      <c r="NYU220" s="67"/>
      <c r="NYV220" s="67"/>
      <c r="NYW220" s="31"/>
      <c r="NYX220" s="19"/>
      <c r="NYY220" s="67"/>
      <c r="NYZ220" s="67"/>
      <c r="NZA220" s="31"/>
      <c r="NZB220" s="19"/>
      <c r="NZC220" s="67"/>
      <c r="NZD220" s="67"/>
      <c r="NZE220" s="31"/>
      <c r="NZF220" s="19"/>
      <c r="NZG220" s="67"/>
      <c r="NZH220" s="67"/>
      <c r="NZI220" s="31"/>
      <c r="NZJ220" s="19"/>
      <c r="NZK220" s="67"/>
      <c r="NZL220" s="67"/>
      <c r="NZM220" s="31"/>
      <c r="NZN220" s="19"/>
      <c r="NZO220" s="67"/>
      <c r="NZP220" s="67"/>
      <c r="NZQ220" s="31"/>
      <c r="NZR220" s="19"/>
      <c r="NZS220" s="67"/>
      <c r="NZT220" s="67"/>
      <c r="NZU220" s="31"/>
      <c r="NZV220" s="19"/>
      <c r="NZW220" s="67"/>
      <c r="NZX220" s="67"/>
      <c r="NZY220" s="31"/>
      <c r="NZZ220" s="19"/>
      <c r="OAA220" s="67"/>
      <c r="OAB220" s="67"/>
      <c r="OAC220" s="31"/>
      <c r="OAD220" s="19"/>
      <c r="OAE220" s="67"/>
      <c r="OAF220" s="67"/>
      <c r="OAG220" s="31"/>
      <c r="OAH220" s="19"/>
      <c r="OAI220" s="67"/>
      <c r="OAJ220" s="67"/>
      <c r="OAK220" s="31"/>
      <c r="OAL220" s="19"/>
      <c r="OAM220" s="67"/>
      <c r="OAN220" s="67"/>
      <c r="OAO220" s="31"/>
      <c r="OAP220" s="19"/>
      <c r="OAQ220" s="67"/>
      <c r="OAR220" s="67"/>
      <c r="OAS220" s="31"/>
      <c r="OAT220" s="19"/>
      <c r="OAU220" s="67"/>
      <c r="OAV220" s="67"/>
      <c r="OAW220" s="31"/>
      <c r="OAX220" s="19"/>
      <c r="OAY220" s="67"/>
      <c r="OAZ220" s="67"/>
      <c r="OBA220" s="31"/>
      <c r="OBB220" s="19"/>
      <c r="OBC220" s="67"/>
      <c r="OBD220" s="67"/>
      <c r="OBE220" s="31"/>
      <c r="OBF220" s="19"/>
      <c r="OBG220" s="67"/>
      <c r="OBH220" s="67"/>
      <c r="OBI220" s="31"/>
      <c r="OBJ220" s="19"/>
      <c r="OBK220" s="67"/>
      <c r="OBL220" s="67"/>
      <c r="OBM220" s="31"/>
      <c r="OBN220" s="19"/>
      <c r="OBO220" s="67"/>
      <c r="OBP220" s="67"/>
      <c r="OBQ220" s="31"/>
      <c r="OBR220" s="19"/>
      <c r="OBS220" s="67"/>
      <c r="OBT220" s="67"/>
      <c r="OBU220" s="31"/>
      <c r="OBV220" s="19"/>
      <c r="OBW220" s="67"/>
      <c r="OBX220" s="67"/>
      <c r="OBY220" s="31"/>
      <c r="OBZ220" s="19"/>
      <c r="OCA220" s="67"/>
      <c r="OCB220" s="67"/>
      <c r="OCC220" s="31"/>
      <c r="OCD220" s="19"/>
      <c r="OCE220" s="67"/>
      <c r="OCF220" s="67"/>
      <c r="OCG220" s="31"/>
      <c r="OCH220" s="19"/>
      <c r="OCI220" s="67"/>
      <c r="OCJ220" s="67"/>
      <c r="OCK220" s="31"/>
      <c r="OCL220" s="19"/>
      <c r="OCM220" s="67"/>
      <c r="OCN220" s="67"/>
      <c r="OCO220" s="31"/>
      <c r="OCP220" s="19"/>
      <c r="OCQ220" s="67"/>
      <c r="OCR220" s="67"/>
      <c r="OCS220" s="31"/>
      <c r="OCT220" s="19"/>
      <c r="OCU220" s="67"/>
      <c r="OCV220" s="67"/>
      <c r="OCW220" s="31"/>
      <c r="OCX220" s="19"/>
      <c r="OCY220" s="67"/>
      <c r="OCZ220" s="67"/>
      <c r="ODA220" s="31"/>
      <c r="ODB220" s="19"/>
      <c r="ODC220" s="67"/>
      <c r="ODD220" s="67"/>
      <c r="ODE220" s="31"/>
      <c r="ODF220" s="19"/>
      <c r="ODG220" s="67"/>
      <c r="ODH220" s="67"/>
      <c r="ODI220" s="31"/>
      <c r="ODJ220" s="19"/>
      <c r="ODK220" s="67"/>
      <c r="ODL220" s="67"/>
      <c r="ODM220" s="31"/>
      <c r="ODN220" s="19"/>
      <c r="ODO220" s="67"/>
      <c r="ODP220" s="67"/>
      <c r="ODQ220" s="31"/>
      <c r="ODR220" s="19"/>
      <c r="ODS220" s="67"/>
      <c r="ODT220" s="67"/>
      <c r="ODU220" s="31"/>
      <c r="ODV220" s="19"/>
      <c r="ODW220" s="67"/>
      <c r="ODX220" s="67"/>
      <c r="ODY220" s="31"/>
      <c r="ODZ220" s="19"/>
      <c r="OEA220" s="67"/>
      <c r="OEB220" s="67"/>
      <c r="OEC220" s="31"/>
      <c r="OED220" s="19"/>
      <c r="OEE220" s="67"/>
      <c r="OEF220" s="67"/>
      <c r="OEG220" s="31"/>
      <c r="OEH220" s="19"/>
      <c r="OEI220" s="67"/>
      <c r="OEJ220" s="67"/>
      <c r="OEK220" s="31"/>
      <c r="OEL220" s="19"/>
      <c r="OEM220" s="67"/>
      <c r="OEN220" s="67"/>
      <c r="OEO220" s="31"/>
      <c r="OEP220" s="19"/>
      <c r="OEQ220" s="67"/>
      <c r="OER220" s="67"/>
      <c r="OES220" s="31"/>
      <c r="OET220" s="19"/>
      <c r="OEU220" s="67"/>
      <c r="OEV220" s="67"/>
      <c r="OEW220" s="31"/>
      <c r="OEX220" s="19"/>
      <c r="OEY220" s="67"/>
      <c r="OEZ220" s="67"/>
      <c r="OFA220" s="31"/>
      <c r="OFB220" s="19"/>
      <c r="OFC220" s="67"/>
      <c r="OFD220" s="67"/>
      <c r="OFE220" s="31"/>
      <c r="OFF220" s="19"/>
      <c r="OFG220" s="67"/>
      <c r="OFH220" s="67"/>
      <c r="OFI220" s="31"/>
      <c r="OFJ220" s="19"/>
      <c r="OFK220" s="67"/>
      <c r="OFL220" s="67"/>
      <c r="OFM220" s="31"/>
      <c r="OFN220" s="19"/>
      <c r="OFO220" s="67"/>
      <c r="OFP220" s="67"/>
      <c r="OFQ220" s="31"/>
      <c r="OFR220" s="19"/>
      <c r="OFS220" s="67"/>
      <c r="OFT220" s="67"/>
      <c r="OFU220" s="31"/>
      <c r="OFV220" s="19"/>
      <c r="OFW220" s="67"/>
      <c r="OFX220" s="67"/>
      <c r="OFY220" s="31"/>
      <c r="OFZ220" s="19"/>
      <c r="OGA220" s="67"/>
      <c r="OGB220" s="67"/>
      <c r="OGC220" s="31"/>
      <c r="OGD220" s="19"/>
      <c r="OGE220" s="67"/>
      <c r="OGF220" s="67"/>
      <c r="OGG220" s="31"/>
      <c r="OGH220" s="19"/>
      <c r="OGI220" s="67"/>
      <c r="OGJ220" s="67"/>
      <c r="OGK220" s="31"/>
      <c r="OGL220" s="19"/>
      <c r="OGM220" s="67"/>
      <c r="OGN220" s="67"/>
      <c r="OGO220" s="31"/>
      <c r="OGP220" s="19"/>
      <c r="OGQ220" s="67"/>
      <c r="OGR220" s="67"/>
      <c r="OGS220" s="31"/>
      <c r="OGT220" s="19"/>
      <c r="OGU220" s="67"/>
      <c r="OGV220" s="67"/>
      <c r="OGW220" s="31"/>
      <c r="OGX220" s="19"/>
      <c r="OGY220" s="67"/>
      <c r="OGZ220" s="67"/>
      <c r="OHA220" s="31"/>
      <c r="OHB220" s="19"/>
      <c r="OHC220" s="67"/>
      <c r="OHD220" s="67"/>
      <c r="OHE220" s="31"/>
      <c r="OHF220" s="19"/>
      <c r="OHG220" s="67"/>
      <c r="OHH220" s="67"/>
      <c r="OHI220" s="31"/>
      <c r="OHJ220" s="19"/>
      <c r="OHK220" s="67"/>
      <c r="OHL220" s="67"/>
      <c r="OHM220" s="31"/>
      <c r="OHN220" s="19"/>
      <c r="OHO220" s="67"/>
      <c r="OHP220" s="67"/>
      <c r="OHQ220" s="31"/>
      <c r="OHR220" s="19"/>
      <c r="OHS220" s="67"/>
      <c r="OHT220" s="67"/>
      <c r="OHU220" s="31"/>
      <c r="OHV220" s="19"/>
      <c r="OHW220" s="67"/>
      <c r="OHX220" s="67"/>
      <c r="OHY220" s="31"/>
      <c r="OHZ220" s="19"/>
      <c r="OIA220" s="67"/>
      <c r="OIB220" s="67"/>
      <c r="OIC220" s="31"/>
      <c r="OID220" s="19"/>
      <c r="OIE220" s="67"/>
      <c r="OIF220" s="67"/>
      <c r="OIG220" s="31"/>
      <c r="OIH220" s="19"/>
      <c r="OII220" s="67"/>
      <c r="OIJ220" s="67"/>
      <c r="OIK220" s="31"/>
      <c r="OIL220" s="19"/>
      <c r="OIM220" s="67"/>
      <c r="OIN220" s="67"/>
      <c r="OIO220" s="31"/>
      <c r="OIP220" s="19"/>
      <c r="OIQ220" s="67"/>
      <c r="OIR220" s="67"/>
      <c r="OIS220" s="31"/>
      <c r="OIT220" s="19"/>
      <c r="OIU220" s="67"/>
      <c r="OIV220" s="67"/>
      <c r="OIW220" s="31"/>
      <c r="OIX220" s="19"/>
      <c r="OIY220" s="67"/>
      <c r="OIZ220" s="67"/>
      <c r="OJA220" s="31"/>
      <c r="OJB220" s="19"/>
      <c r="OJC220" s="67"/>
      <c r="OJD220" s="67"/>
      <c r="OJE220" s="31"/>
      <c r="OJF220" s="19"/>
      <c r="OJG220" s="67"/>
      <c r="OJH220" s="67"/>
      <c r="OJI220" s="31"/>
      <c r="OJJ220" s="19"/>
      <c r="OJK220" s="67"/>
      <c r="OJL220" s="67"/>
      <c r="OJM220" s="31"/>
      <c r="OJN220" s="19"/>
      <c r="OJO220" s="67"/>
      <c r="OJP220" s="67"/>
      <c r="OJQ220" s="31"/>
      <c r="OJR220" s="19"/>
      <c r="OJS220" s="67"/>
      <c r="OJT220" s="67"/>
      <c r="OJU220" s="31"/>
      <c r="OJV220" s="19"/>
      <c r="OJW220" s="67"/>
      <c r="OJX220" s="67"/>
      <c r="OJY220" s="31"/>
      <c r="OJZ220" s="19"/>
      <c r="OKA220" s="67"/>
      <c r="OKB220" s="67"/>
      <c r="OKC220" s="31"/>
      <c r="OKD220" s="19"/>
      <c r="OKE220" s="67"/>
      <c r="OKF220" s="67"/>
      <c r="OKG220" s="31"/>
      <c r="OKH220" s="19"/>
      <c r="OKI220" s="67"/>
      <c r="OKJ220" s="67"/>
      <c r="OKK220" s="31"/>
      <c r="OKL220" s="19"/>
      <c r="OKM220" s="67"/>
      <c r="OKN220" s="67"/>
      <c r="OKO220" s="31"/>
      <c r="OKP220" s="19"/>
      <c r="OKQ220" s="67"/>
      <c r="OKR220" s="67"/>
      <c r="OKS220" s="31"/>
      <c r="OKT220" s="19"/>
      <c r="OKU220" s="67"/>
      <c r="OKV220" s="67"/>
      <c r="OKW220" s="31"/>
      <c r="OKX220" s="19"/>
      <c r="OKY220" s="67"/>
      <c r="OKZ220" s="67"/>
      <c r="OLA220" s="31"/>
      <c r="OLB220" s="19"/>
      <c r="OLC220" s="67"/>
      <c r="OLD220" s="67"/>
      <c r="OLE220" s="31"/>
      <c r="OLF220" s="19"/>
      <c r="OLG220" s="67"/>
      <c r="OLH220" s="67"/>
      <c r="OLI220" s="31"/>
      <c r="OLJ220" s="19"/>
      <c r="OLK220" s="67"/>
      <c r="OLL220" s="67"/>
      <c r="OLM220" s="31"/>
      <c r="OLN220" s="19"/>
      <c r="OLO220" s="67"/>
      <c r="OLP220" s="67"/>
      <c r="OLQ220" s="31"/>
      <c r="OLR220" s="19"/>
      <c r="OLS220" s="67"/>
      <c r="OLT220" s="67"/>
      <c r="OLU220" s="31"/>
      <c r="OLV220" s="19"/>
      <c r="OLW220" s="67"/>
      <c r="OLX220" s="67"/>
      <c r="OLY220" s="31"/>
      <c r="OLZ220" s="19"/>
      <c r="OMA220" s="67"/>
      <c r="OMB220" s="67"/>
      <c r="OMC220" s="31"/>
      <c r="OMD220" s="19"/>
      <c r="OME220" s="67"/>
      <c r="OMF220" s="67"/>
      <c r="OMG220" s="31"/>
      <c r="OMH220" s="19"/>
      <c r="OMI220" s="67"/>
      <c r="OMJ220" s="67"/>
      <c r="OMK220" s="31"/>
      <c r="OML220" s="19"/>
      <c r="OMM220" s="67"/>
      <c r="OMN220" s="67"/>
      <c r="OMO220" s="31"/>
      <c r="OMP220" s="19"/>
      <c r="OMQ220" s="67"/>
      <c r="OMR220" s="67"/>
      <c r="OMS220" s="31"/>
      <c r="OMT220" s="19"/>
      <c r="OMU220" s="67"/>
      <c r="OMV220" s="67"/>
      <c r="OMW220" s="31"/>
      <c r="OMX220" s="19"/>
      <c r="OMY220" s="67"/>
      <c r="OMZ220" s="67"/>
      <c r="ONA220" s="31"/>
      <c r="ONB220" s="19"/>
      <c r="ONC220" s="67"/>
      <c r="OND220" s="67"/>
      <c r="ONE220" s="31"/>
      <c r="ONF220" s="19"/>
      <c r="ONG220" s="67"/>
      <c r="ONH220" s="67"/>
      <c r="ONI220" s="31"/>
      <c r="ONJ220" s="19"/>
      <c r="ONK220" s="67"/>
      <c r="ONL220" s="67"/>
      <c r="ONM220" s="31"/>
      <c r="ONN220" s="19"/>
      <c r="ONO220" s="67"/>
      <c r="ONP220" s="67"/>
      <c r="ONQ220" s="31"/>
      <c r="ONR220" s="19"/>
      <c r="ONS220" s="67"/>
      <c r="ONT220" s="67"/>
      <c r="ONU220" s="31"/>
      <c r="ONV220" s="19"/>
      <c r="ONW220" s="67"/>
      <c r="ONX220" s="67"/>
      <c r="ONY220" s="31"/>
      <c r="ONZ220" s="19"/>
      <c r="OOA220" s="67"/>
      <c r="OOB220" s="67"/>
      <c r="OOC220" s="31"/>
      <c r="OOD220" s="19"/>
      <c r="OOE220" s="67"/>
      <c r="OOF220" s="67"/>
      <c r="OOG220" s="31"/>
      <c r="OOH220" s="19"/>
      <c r="OOI220" s="67"/>
      <c r="OOJ220" s="67"/>
      <c r="OOK220" s="31"/>
      <c r="OOL220" s="19"/>
      <c r="OOM220" s="67"/>
      <c r="OON220" s="67"/>
      <c r="OOO220" s="31"/>
      <c r="OOP220" s="19"/>
      <c r="OOQ220" s="67"/>
      <c r="OOR220" s="67"/>
      <c r="OOS220" s="31"/>
      <c r="OOT220" s="19"/>
      <c r="OOU220" s="67"/>
      <c r="OOV220" s="67"/>
      <c r="OOW220" s="31"/>
      <c r="OOX220" s="19"/>
      <c r="OOY220" s="67"/>
      <c r="OOZ220" s="67"/>
      <c r="OPA220" s="31"/>
      <c r="OPB220" s="19"/>
      <c r="OPC220" s="67"/>
      <c r="OPD220" s="67"/>
      <c r="OPE220" s="31"/>
      <c r="OPF220" s="19"/>
      <c r="OPG220" s="67"/>
      <c r="OPH220" s="67"/>
      <c r="OPI220" s="31"/>
      <c r="OPJ220" s="19"/>
      <c r="OPK220" s="67"/>
      <c r="OPL220" s="67"/>
      <c r="OPM220" s="31"/>
      <c r="OPN220" s="19"/>
      <c r="OPO220" s="67"/>
      <c r="OPP220" s="67"/>
      <c r="OPQ220" s="31"/>
      <c r="OPR220" s="19"/>
      <c r="OPS220" s="67"/>
      <c r="OPT220" s="67"/>
      <c r="OPU220" s="31"/>
      <c r="OPV220" s="19"/>
      <c r="OPW220" s="67"/>
      <c r="OPX220" s="67"/>
      <c r="OPY220" s="31"/>
      <c r="OPZ220" s="19"/>
      <c r="OQA220" s="67"/>
      <c r="OQB220" s="67"/>
      <c r="OQC220" s="31"/>
      <c r="OQD220" s="19"/>
      <c r="OQE220" s="67"/>
      <c r="OQF220" s="67"/>
      <c r="OQG220" s="31"/>
      <c r="OQH220" s="19"/>
      <c r="OQI220" s="67"/>
      <c r="OQJ220" s="67"/>
      <c r="OQK220" s="31"/>
      <c r="OQL220" s="19"/>
      <c r="OQM220" s="67"/>
      <c r="OQN220" s="67"/>
      <c r="OQO220" s="31"/>
      <c r="OQP220" s="19"/>
      <c r="OQQ220" s="67"/>
      <c r="OQR220" s="67"/>
      <c r="OQS220" s="31"/>
      <c r="OQT220" s="19"/>
      <c r="OQU220" s="67"/>
      <c r="OQV220" s="67"/>
      <c r="OQW220" s="31"/>
      <c r="OQX220" s="19"/>
      <c r="OQY220" s="67"/>
      <c r="OQZ220" s="67"/>
      <c r="ORA220" s="31"/>
      <c r="ORB220" s="19"/>
      <c r="ORC220" s="67"/>
      <c r="ORD220" s="67"/>
      <c r="ORE220" s="31"/>
      <c r="ORF220" s="19"/>
      <c r="ORG220" s="67"/>
      <c r="ORH220" s="67"/>
      <c r="ORI220" s="31"/>
      <c r="ORJ220" s="19"/>
      <c r="ORK220" s="67"/>
      <c r="ORL220" s="67"/>
      <c r="ORM220" s="31"/>
      <c r="ORN220" s="19"/>
      <c r="ORO220" s="67"/>
      <c r="ORP220" s="67"/>
      <c r="ORQ220" s="31"/>
      <c r="ORR220" s="19"/>
      <c r="ORS220" s="67"/>
      <c r="ORT220" s="67"/>
      <c r="ORU220" s="31"/>
      <c r="ORV220" s="19"/>
      <c r="ORW220" s="67"/>
      <c r="ORX220" s="67"/>
      <c r="ORY220" s="31"/>
      <c r="ORZ220" s="19"/>
      <c r="OSA220" s="67"/>
      <c r="OSB220" s="67"/>
      <c r="OSC220" s="31"/>
      <c r="OSD220" s="19"/>
      <c r="OSE220" s="67"/>
      <c r="OSF220" s="67"/>
      <c r="OSG220" s="31"/>
      <c r="OSH220" s="19"/>
      <c r="OSI220" s="67"/>
      <c r="OSJ220" s="67"/>
      <c r="OSK220" s="31"/>
      <c r="OSL220" s="19"/>
      <c r="OSM220" s="67"/>
      <c r="OSN220" s="67"/>
      <c r="OSO220" s="31"/>
      <c r="OSP220" s="19"/>
      <c r="OSQ220" s="67"/>
      <c r="OSR220" s="67"/>
      <c r="OSS220" s="31"/>
      <c r="OST220" s="19"/>
      <c r="OSU220" s="67"/>
      <c r="OSV220" s="67"/>
      <c r="OSW220" s="31"/>
      <c r="OSX220" s="19"/>
      <c r="OSY220" s="67"/>
      <c r="OSZ220" s="67"/>
      <c r="OTA220" s="31"/>
      <c r="OTB220" s="19"/>
      <c r="OTC220" s="67"/>
      <c r="OTD220" s="67"/>
      <c r="OTE220" s="31"/>
      <c r="OTF220" s="19"/>
      <c r="OTG220" s="67"/>
      <c r="OTH220" s="67"/>
      <c r="OTI220" s="31"/>
      <c r="OTJ220" s="19"/>
      <c r="OTK220" s="67"/>
      <c r="OTL220" s="67"/>
      <c r="OTM220" s="31"/>
      <c r="OTN220" s="19"/>
      <c r="OTO220" s="67"/>
      <c r="OTP220" s="67"/>
      <c r="OTQ220" s="31"/>
      <c r="OTR220" s="19"/>
      <c r="OTS220" s="67"/>
      <c r="OTT220" s="67"/>
      <c r="OTU220" s="31"/>
      <c r="OTV220" s="19"/>
      <c r="OTW220" s="67"/>
      <c r="OTX220" s="67"/>
      <c r="OTY220" s="31"/>
      <c r="OTZ220" s="19"/>
      <c r="OUA220" s="67"/>
      <c r="OUB220" s="67"/>
      <c r="OUC220" s="31"/>
      <c r="OUD220" s="19"/>
      <c r="OUE220" s="67"/>
      <c r="OUF220" s="67"/>
      <c r="OUG220" s="31"/>
      <c r="OUH220" s="19"/>
      <c r="OUI220" s="67"/>
      <c r="OUJ220" s="67"/>
      <c r="OUK220" s="31"/>
      <c r="OUL220" s="19"/>
      <c r="OUM220" s="67"/>
      <c r="OUN220" s="67"/>
      <c r="OUO220" s="31"/>
      <c r="OUP220" s="19"/>
      <c r="OUQ220" s="67"/>
      <c r="OUR220" s="67"/>
      <c r="OUS220" s="31"/>
      <c r="OUT220" s="19"/>
      <c r="OUU220" s="67"/>
      <c r="OUV220" s="67"/>
      <c r="OUW220" s="31"/>
      <c r="OUX220" s="19"/>
      <c r="OUY220" s="67"/>
      <c r="OUZ220" s="67"/>
      <c r="OVA220" s="31"/>
      <c r="OVB220" s="19"/>
      <c r="OVC220" s="67"/>
      <c r="OVD220" s="67"/>
      <c r="OVE220" s="31"/>
      <c r="OVF220" s="19"/>
      <c r="OVG220" s="67"/>
      <c r="OVH220" s="67"/>
      <c r="OVI220" s="31"/>
      <c r="OVJ220" s="19"/>
      <c r="OVK220" s="67"/>
      <c r="OVL220" s="67"/>
      <c r="OVM220" s="31"/>
      <c r="OVN220" s="19"/>
      <c r="OVO220" s="67"/>
      <c r="OVP220" s="67"/>
      <c r="OVQ220" s="31"/>
      <c r="OVR220" s="19"/>
      <c r="OVS220" s="67"/>
      <c r="OVT220" s="67"/>
      <c r="OVU220" s="31"/>
      <c r="OVV220" s="19"/>
      <c r="OVW220" s="67"/>
      <c r="OVX220" s="67"/>
      <c r="OVY220" s="31"/>
      <c r="OVZ220" s="19"/>
      <c r="OWA220" s="67"/>
      <c r="OWB220" s="67"/>
      <c r="OWC220" s="31"/>
      <c r="OWD220" s="19"/>
      <c r="OWE220" s="67"/>
      <c r="OWF220" s="67"/>
      <c r="OWG220" s="31"/>
      <c r="OWH220" s="19"/>
      <c r="OWI220" s="67"/>
      <c r="OWJ220" s="67"/>
      <c r="OWK220" s="31"/>
      <c r="OWL220" s="19"/>
      <c r="OWM220" s="67"/>
      <c r="OWN220" s="67"/>
      <c r="OWO220" s="31"/>
      <c r="OWP220" s="19"/>
      <c r="OWQ220" s="67"/>
      <c r="OWR220" s="67"/>
      <c r="OWS220" s="31"/>
      <c r="OWT220" s="19"/>
      <c r="OWU220" s="67"/>
      <c r="OWV220" s="67"/>
      <c r="OWW220" s="31"/>
      <c r="OWX220" s="19"/>
      <c r="OWY220" s="67"/>
      <c r="OWZ220" s="67"/>
      <c r="OXA220" s="31"/>
      <c r="OXB220" s="19"/>
      <c r="OXC220" s="67"/>
      <c r="OXD220" s="67"/>
      <c r="OXE220" s="31"/>
      <c r="OXF220" s="19"/>
      <c r="OXG220" s="67"/>
      <c r="OXH220" s="67"/>
      <c r="OXI220" s="31"/>
      <c r="OXJ220" s="19"/>
      <c r="OXK220" s="67"/>
      <c r="OXL220" s="67"/>
      <c r="OXM220" s="31"/>
      <c r="OXN220" s="19"/>
      <c r="OXO220" s="67"/>
      <c r="OXP220" s="67"/>
      <c r="OXQ220" s="31"/>
      <c r="OXR220" s="19"/>
      <c r="OXS220" s="67"/>
      <c r="OXT220" s="67"/>
      <c r="OXU220" s="31"/>
      <c r="OXV220" s="19"/>
      <c r="OXW220" s="67"/>
      <c r="OXX220" s="67"/>
      <c r="OXY220" s="31"/>
      <c r="OXZ220" s="19"/>
      <c r="OYA220" s="67"/>
      <c r="OYB220" s="67"/>
      <c r="OYC220" s="31"/>
      <c r="OYD220" s="19"/>
      <c r="OYE220" s="67"/>
      <c r="OYF220" s="67"/>
      <c r="OYG220" s="31"/>
      <c r="OYH220" s="19"/>
      <c r="OYI220" s="67"/>
      <c r="OYJ220" s="67"/>
      <c r="OYK220" s="31"/>
      <c r="OYL220" s="19"/>
      <c r="OYM220" s="67"/>
      <c r="OYN220" s="67"/>
      <c r="OYO220" s="31"/>
      <c r="OYP220" s="19"/>
      <c r="OYQ220" s="67"/>
      <c r="OYR220" s="67"/>
      <c r="OYS220" s="31"/>
      <c r="OYT220" s="19"/>
      <c r="OYU220" s="67"/>
      <c r="OYV220" s="67"/>
      <c r="OYW220" s="31"/>
      <c r="OYX220" s="19"/>
      <c r="OYY220" s="67"/>
      <c r="OYZ220" s="67"/>
      <c r="OZA220" s="31"/>
      <c r="OZB220" s="19"/>
      <c r="OZC220" s="67"/>
      <c r="OZD220" s="67"/>
      <c r="OZE220" s="31"/>
      <c r="OZF220" s="19"/>
      <c r="OZG220" s="67"/>
      <c r="OZH220" s="67"/>
      <c r="OZI220" s="31"/>
      <c r="OZJ220" s="19"/>
      <c r="OZK220" s="67"/>
      <c r="OZL220" s="67"/>
      <c r="OZM220" s="31"/>
      <c r="OZN220" s="19"/>
      <c r="OZO220" s="67"/>
      <c r="OZP220" s="67"/>
      <c r="OZQ220" s="31"/>
      <c r="OZR220" s="19"/>
      <c r="OZS220" s="67"/>
      <c r="OZT220" s="67"/>
      <c r="OZU220" s="31"/>
      <c r="OZV220" s="19"/>
      <c r="OZW220" s="67"/>
      <c r="OZX220" s="67"/>
      <c r="OZY220" s="31"/>
      <c r="OZZ220" s="19"/>
      <c r="PAA220" s="67"/>
      <c r="PAB220" s="67"/>
      <c r="PAC220" s="31"/>
      <c r="PAD220" s="19"/>
      <c r="PAE220" s="67"/>
      <c r="PAF220" s="67"/>
      <c r="PAG220" s="31"/>
      <c r="PAH220" s="19"/>
      <c r="PAI220" s="67"/>
      <c r="PAJ220" s="67"/>
      <c r="PAK220" s="31"/>
      <c r="PAL220" s="19"/>
      <c r="PAM220" s="67"/>
      <c r="PAN220" s="67"/>
      <c r="PAO220" s="31"/>
      <c r="PAP220" s="19"/>
      <c r="PAQ220" s="67"/>
      <c r="PAR220" s="67"/>
      <c r="PAS220" s="31"/>
      <c r="PAT220" s="19"/>
      <c r="PAU220" s="67"/>
      <c r="PAV220" s="67"/>
      <c r="PAW220" s="31"/>
      <c r="PAX220" s="19"/>
      <c r="PAY220" s="67"/>
      <c r="PAZ220" s="67"/>
      <c r="PBA220" s="31"/>
      <c r="PBB220" s="19"/>
      <c r="PBC220" s="67"/>
      <c r="PBD220" s="67"/>
      <c r="PBE220" s="31"/>
      <c r="PBF220" s="19"/>
      <c r="PBG220" s="67"/>
      <c r="PBH220" s="67"/>
      <c r="PBI220" s="31"/>
      <c r="PBJ220" s="19"/>
      <c r="PBK220" s="67"/>
      <c r="PBL220" s="67"/>
      <c r="PBM220" s="31"/>
      <c r="PBN220" s="19"/>
      <c r="PBO220" s="67"/>
      <c r="PBP220" s="67"/>
      <c r="PBQ220" s="31"/>
      <c r="PBR220" s="19"/>
      <c r="PBS220" s="67"/>
      <c r="PBT220" s="67"/>
      <c r="PBU220" s="31"/>
      <c r="PBV220" s="19"/>
      <c r="PBW220" s="67"/>
      <c r="PBX220" s="67"/>
      <c r="PBY220" s="31"/>
      <c r="PBZ220" s="19"/>
      <c r="PCA220" s="67"/>
      <c r="PCB220" s="67"/>
      <c r="PCC220" s="31"/>
      <c r="PCD220" s="19"/>
      <c r="PCE220" s="67"/>
      <c r="PCF220" s="67"/>
      <c r="PCG220" s="31"/>
      <c r="PCH220" s="19"/>
      <c r="PCI220" s="67"/>
      <c r="PCJ220" s="67"/>
      <c r="PCK220" s="31"/>
      <c r="PCL220" s="19"/>
      <c r="PCM220" s="67"/>
      <c r="PCN220" s="67"/>
      <c r="PCO220" s="31"/>
      <c r="PCP220" s="19"/>
      <c r="PCQ220" s="67"/>
      <c r="PCR220" s="67"/>
      <c r="PCS220" s="31"/>
      <c r="PCT220" s="19"/>
      <c r="PCU220" s="67"/>
      <c r="PCV220" s="67"/>
      <c r="PCW220" s="31"/>
      <c r="PCX220" s="19"/>
      <c r="PCY220" s="67"/>
      <c r="PCZ220" s="67"/>
      <c r="PDA220" s="31"/>
      <c r="PDB220" s="19"/>
      <c r="PDC220" s="67"/>
      <c r="PDD220" s="67"/>
      <c r="PDE220" s="31"/>
      <c r="PDF220" s="19"/>
      <c r="PDG220" s="67"/>
      <c r="PDH220" s="67"/>
      <c r="PDI220" s="31"/>
      <c r="PDJ220" s="19"/>
      <c r="PDK220" s="67"/>
      <c r="PDL220" s="67"/>
      <c r="PDM220" s="31"/>
      <c r="PDN220" s="19"/>
      <c r="PDO220" s="67"/>
      <c r="PDP220" s="67"/>
      <c r="PDQ220" s="31"/>
      <c r="PDR220" s="19"/>
      <c r="PDS220" s="67"/>
      <c r="PDT220" s="67"/>
      <c r="PDU220" s="31"/>
      <c r="PDV220" s="19"/>
      <c r="PDW220" s="67"/>
      <c r="PDX220" s="67"/>
      <c r="PDY220" s="31"/>
      <c r="PDZ220" s="19"/>
      <c r="PEA220" s="67"/>
      <c r="PEB220" s="67"/>
      <c r="PEC220" s="31"/>
      <c r="PED220" s="19"/>
      <c r="PEE220" s="67"/>
      <c r="PEF220" s="67"/>
      <c r="PEG220" s="31"/>
      <c r="PEH220" s="19"/>
      <c r="PEI220" s="67"/>
      <c r="PEJ220" s="67"/>
      <c r="PEK220" s="31"/>
      <c r="PEL220" s="19"/>
      <c r="PEM220" s="67"/>
      <c r="PEN220" s="67"/>
      <c r="PEO220" s="31"/>
      <c r="PEP220" s="19"/>
      <c r="PEQ220" s="67"/>
      <c r="PER220" s="67"/>
      <c r="PES220" s="31"/>
      <c r="PET220" s="19"/>
      <c r="PEU220" s="67"/>
      <c r="PEV220" s="67"/>
      <c r="PEW220" s="31"/>
      <c r="PEX220" s="19"/>
      <c r="PEY220" s="67"/>
      <c r="PEZ220" s="67"/>
      <c r="PFA220" s="31"/>
      <c r="PFB220" s="19"/>
      <c r="PFC220" s="67"/>
      <c r="PFD220" s="67"/>
      <c r="PFE220" s="31"/>
      <c r="PFF220" s="19"/>
      <c r="PFG220" s="67"/>
      <c r="PFH220" s="67"/>
      <c r="PFI220" s="31"/>
      <c r="PFJ220" s="19"/>
      <c r="PFK220" s="67"/>
      <c r="PFL220" s="67"/>
      <c r="PFM220" s="31"/>
      <c r="PFN220" s="19"/>
      <c r="PFO220" s="67"/>
      <c r="PFP220" s="67"/>
      <c r="PFQ220" s="31"/>
      <c r="PFR220" s="19"/>
      <c r="PFS220" s="67"/>
      <c r="PFT220" s="67"/>
      <c r="PFU220" s="31"/>
      <c r="PFV220" s="19"/>
      <c r="PFW220" s="67"/>
      <c r="PFX220" s="67"/>
      <c r="PFY220" s="31"/>
      <c r="PFZ220" s="19"/>
      <c r="PGA220" s="67"/>
      <c r="PGB220" s="67"/>
      <c r="PGC220" s="31"/>
      <c r="PGD220" s="19"/>
      <c r="PGE220" s="67"/>
      <c r="PGF220" s="67"/>
      <c r="PGG220" s="31"/>
      <c r="PGH220" s="19"/>
      <c r="PGI220" s="67"/>
      <c r="PGJ220" s="67"/>
      <c r="PGK220" s="31"/>
      <c r="PGL220" s="19"/>
      <c r="PGM220" s="67"/>
      <c r="PGN220" s="67"/>
      <c r="PGO220" s="31"/>
      <c r="PGP220" s="19"/>
      <c r="PGQ220" s="67"/>
      <c r="PGR220" s="67"/>
      <c r="PGS220" s="31"/>
      <c r="PGT220" s="19"/>
      <c r="PGU220" s="67"/>
      <c r="PGV220" s="67"/>
      <c r="PGW220" s="31"/>
      <c r="PGX220" s="19"/>
      <c r="PGY220" s="67"/>
      <c r="PGZ220" s="67"/>
      <c r="PHA220" s="31"/>
      <c r="PHB220" s="19"/>
      <c r="PHC220" s="67"/>
      <c r="PHD220" s="67"/>
      <c r="PHE220" s="31"/>
      <c r="PHF220" s="19"/>
      <c r="PHG220" s="67"/>
      <c r="PHH220" s="67"/>
      <c r="PHI220" s="31"/>
      <c r="PHJ220" s="19"/>
      <c r="PHK220" s="67"/>
      <c r="PHL220" s="67"/>
      <c r="PHM220" s="31"/>
      <c r="PHN220" s="19"/>
      <c r="PHO220" s="67"/>
      <c r="PHP220" s="67"/>
      <c r="PHQ220" s="31"/>
      <c r="PHR220" s="19"/>
      <c r="PHS220" s="67"/>
      <c r="PHT220" s="67"/>
      <c r="PHU220" s="31"/>
      <c r="PHV220" s="19"/>
      <c r="PHW220" s="67"/>
      <c r="PHX220" s="67"/>
      <c r="PHY220" s="31"/>
      <c r="PHZ220" s="19"/>
      <c r="PIA220" s="67"/>
      <c r="PIB220" s="67"/>
      <c r="PIC220" s="31"/>
      <c r="PID220" s="19"/>
      <c r="PIE220" s="67"/>
      <c r="PIF220" s="67"/>
      <c r="PIG220" s="31"/>
      <c r="PIH220" s="19"/>
      <c r="PII220" s="67"/>
      <c r="PIJ220" s="67"/>
      <c r="PIK220" s="31"/>
      <c r="PIL220" s="19"/>
      <c r="PIM220" s="67"/>
      <c r="PIN220" s="67"/>
      <c r="PIO220" s="31"/>
      <c r="PIP220" s="19"/>
      <c r="PIQ220" s="67"/>
      <c r="PIR220" s="67"/>
      <c r="PIS220" s="31"/>
      <c r="PIT220" s="19"/>
      <c r="PIU220" s="67"/>
      <c r="PIV220" s="67"/>
      <c r="PIW220" s="31"/>
      <c r="PIX220" s="19"/>
      <c r="PIY220" s="67"/>
      <c r="PIZ220" s="67"/>
      <c r="PJA220" s="31"/>
      <c r="PJB220" s="19"/>
      <c r="PJC220" s="67"/>
      <c r="PJD220" s="67"/>
      <c r="PJE220" s="31"/>
      <c r="PJF220" s="19"/>
      <c r="PJG220" s="67"/>
      <c r="PJH220" s="67"/>
      <c r="PJI220" s="31"/>
      <c r="PJJ220" s="19"/>
      <c r="PJK220" s="67"/>
      <c r="PJL220" s="67"/>
      <c r="PJM220" s="31"/>
      <c r="PJN220" s="19"/>
      <c r="PJO220" s="67"/>
      <c r="PJP220" s="67"/>
      <c r="PJQ220" s="31"/>
      <c r="PJR220" s="19"/>
      <c r="PJS220" s="67"/>
      <c r="PJT220" s="67"/>
      <c r="PJU220" s="31"/>
      <c r="PJV220" s="19"/>
      <c r="PJW220" s="67"/>
      <c r="PJX220" s="67"/>
      <c r="PJY220" s="31"/>
      <c r="PJZ220" s="19"/>
      <c r="PKA220" s="67"/>
      <c r="PKB220" s="67"/>
      <c r="PKC220" s="31"/>
      <c r="PKD220" s="19"/>
      <c r="PKE220" s="67"/>
      <c r="PKF220" s="67"/>
      <c r="PKG220" s="31"/>
      <c r="PKH220" s="19"/>
      <c r="PKI220" s="67"/>
      <c r="PKJ220" s="67"/>
      <c r="PKK220" s="31"/>
      <c r="PKL220" s="19"/>
      <c r="PKM220" s="67"/>
      <c r="PKN220" s="67"/>
      <c r="PKO220" s="31"/>
      <c r="PKP220" s="19"/>
      <c r="PKQ220" s="67"/>
      <c r="PKR220" s="67"/>
      <c r="PKS220" s="31"/>
      <c r="PKT220" s="19"/>
      <c r="PKU220" s="67"/>
      <c r="PKV220" s="67"/>
      <c r="PKW220" s="31"/>
      <c r="PKX220" s="19"/>
      <c r="PKY220" s="67"/>
      <c r="PKZ220" s="67"/>
      <c r="PLA220" s="31"/>
      <c r="PLB220" s="19"/>
      <c r="PLC220" s="67"/>
      <c r="PLD220" s="67"/>
      <c r="PLE220" s="31"/>
      <c r="PLF220" s="19"/>
      <c r="PLG220" s="67"/>
      <c r="PLH220" s="67"/>
      <c r="PLI220" s="31"/>
      <c r="PLJ220" s="19"/>
      <c r="PLK220" s="67"/>
      <c r="PLL220" s="67"/>
      <c r="PLM220" s="31"/>
      <c r="PLN220" s="19"/>
      <c r="PLO220" s="67"/>
      <c r="PLP220" s="67"/>
      <c r="PLQ220" s="31"/>
      <c r="PLR220" s="19"/>
      <c r="PLS220" s="67"/>
      <c r="PLT220" s="67"/>
      <c r="PLU220" s="31"/>
      <c r="PLV220" s="19"/>
      <c r="PLW220" s="67"/>
      <c r="PLX220" s="67"/>
      <c r="PLY220" s="31"/>
      <c r="PLZ220" s="19"/>
      <c r="PMA220" s="67"/>
      <c r="PMB220" s="67"/>
      <c r="PMC220" s="31"/>
      <c r="PMD220" s="19"/>
      <c r="PME220" s="67"/>
      <c r="PMF220" s="67"/>
      <c r="PMG220" s="31"/>
      <c r="PMH220" s="19"/>
      <c r="PMI220" s="67"/>
      <c r="PMJ220" s="67"/>
      <c r="PMK220" s="31"/>
      <c r="PML220" s="19"/>
      <c r="PMM220" s="67"/>
      <c r="PMN220" s="67"/>
      <c r="PMO220" s="31"/>
      <c r="PMP220" s="19"/>
      <c r="PMQ220" s="67"/>
      <c r="PMR220" s="67"/>
      <c r="PMS220" s="31"/>
      <c r="PMT220" s="19"/>
      <c r="PMU220" s="67"/>
      <c r="PMV220" s="67"/>
      <c r="PMW220" s="31"/>
      <c r="PMX220" s="19"/>
      <c r="PMY220" s="67"/>
      <c r="PMZ220" s="67"/>
      <c r="PNA220" s="31"/>
      <c r="PNB220" s="19"/>
      <c r="PNC220" s="67"/>
      <c r="PND220" s="67"/>
      <c r="PNE220" s="31"/>
      <c r="PNF220" s="19"/>
      <c r="PNG220" s="67"/>
      <c r="PNH220" s="67"/>
      <c r="PNI220" s="31"/>
      <c r="PNJ220" s="19"/>
      <c r="PNK220" s="67"/>
      <c r="PNL220" s="67"/>
      <c r="PNM220" s="31"/>
      <c r="PNN220" s="19"/>
      <c r="PNO220" s="67"/>
      <c r="PNP220" s="67"/>
      <c r="PNQ220" s="31"/>
      <c r="PNR220" s="19"/>
      <c r="PNS220" s="67"/>
      <c r="PNT220" s="67"/>
      <c r="PNU220" s="31"/>
      <c r="PNV220" s="19"/>
      <c r="PNW220" s="67"/>
      <c r="PNX220" s="67"/>
      <c r="PNY220" s="31"/>
      <c r="PNZ220" s="19"/>
      <c r="POA220" s="67"/>
      <c r="POB220" s="67"/>
      <c r="POC220" s="31"/>
      <c r="POD220" s="19"/>
      <c r="POE220" s="67"/>
      <c r="POF220" s="67"/>
      <c r="POG220" s="31"/>
      <c r="POH220" s="19"/>
      <c r="POI220" s="67"/>
      <c r="POJ220" s="67"/>
      <c r="POK220" s="31"/>
      <c r="POL220" s="19"/>
      <c r="POM220" s="67"/>
      <c r="PON220" s="67"/>
      <c r="POO220" s="31"/>
      <c r="POP220" s="19"/>
      <c r="POQ220" s="67"/>
      <c r="POR220" s="67"/>
      <c r="POS220" s="31"/>
      <c r="POT220" s="19"/>
      <c r="POU220" s="67"/>
      <c r="POV220" s="67"/>
      <c r="POW220" s="31"/>
      <c r="POX220" s="19"/>
      <c r="POY220" s="67"/>
      <c r="POZ220" s="67"/>
      <c r="PPA220" s="31"/>
      <c r="PPB220" s="19"/>
      <c r="PPC220" s="67"/>
      <c r="PPD220" s="67"/>
      <c r="PPE220" s="31"/>
      <c r="PPF220" s="19"/>
      <c r="PPG220" s="67"/>
      <c r="PPH220" s="67"/>
      <c r="PPI220" s="31"/>
      <c r="PPJ220" s="19"/>
      <c r="PPK220" s="67"/>
      <c r="PPL220" s="67"/>
      <c r="PPM220" s="31"/>
      <c r="PPN220" s="19"/>
      <c r="PPO220" s="67"/>
      <c r="PPP220" s="67"/>
      <c r="PPQ220" s="31"/>
      <c r="PPR220" s="19"/>
      <c r="PPS220" s="67"/>
      <c r="PPT220" s="67"/>
      <c r="PPU220" s="31"/>
      <c r="PPV220" s="19"/>
      <c r="PPW220" s="67"/>
      <c r="PPX220" s="67"/>
      <c r="PPY220" s="31"/>
      <c r="PPZ220" s="19"/>
      <c r="PQA220" s="67"/>
      <c r="PQB220" s="67"/>
      <c r="PQC220" s="31"/>
      <c r="PQD220" s="19"/>
      <c r="PQE220" s="67"/>
      <c r="PQF220" s="67"/>
      <c r="PQG220" s="31"/>
      <c r="PQH220" s="19"/>
      <c r="PQI220" s="67"/>
      <c r="PQJ220" s="67"/>
      <c r="PQK220" s="31"/>
      <c r="PQL220" s="19"/>
      <c r="PQM220" s="67"/>
      <c r="PQN220" s="67"/>
      <c r="PQO220" s="31"/>
      <c r="PQP220" s="19"/>
      <c r="PQQ220" s="67"/>
      <c r="PQR220" s="67"/>
      <c r="PQS220" s="31"/>
      <c r="PQT220" s="19"/>
      <c r="PQU220" s="67"/>
      <c r="PQV220" s="67"/>
      <c r="PQW220" s="31"/>
      <c r="PQX220" s="19"/>
      <c r="PQY220" s="67"/>
      <c r="PQZ220" s="67"/>
      <c r="PRA220" s="31"/>
      <c r="PRB220" s="19"/>
      <c r="PRC220" s="67"/>
      <c r="PRD220" s="67"/>
      <c r="PRE220" s="31"/>
      <c r="PRF220" s="19"/>
      <c r="PRG220" s="67"/>
      <c r="PRH220" s="67"/>
      <c r="PRI220" s="31"/>
      <c r="PRJ220" s="19"/>
      <c r="PRK220" s="67"/>
      <c r="PRL220" s="67"/>
      <c r="PRM220" s="31"/>
      <c r="PRN220" s="19"/>
      <c r="PRO220" s="67"/>
      <c r="PRP220" s="67"/>
      <c r="PRQ220" s="31"/>
      <c r="PRR220" s="19"/>
      <c r="PRS220" s="67"/>
      <c r="PRT220" s="67"/>
      <c r="PRU220" s="31"/>
      <c r="PRV220" s="19"/>
      <c r="PRW220" s="67"/>
      <c r="PRX220" s="67"/>
      <c r="PRY220" s="31"/>
      <c r="PRZ220" s="19"/>
      <c r="PSA220" s="67"/>
      <c r="PSB220" s="67"/>
      <c r="PSC220" s="31"/>
      <c r="PSD220" s="19"/>
      <c r="PSE220" s="67"/>
      <c r="PSF220" s="67"/>
      <c r="PSG220" s="31"/>
      <c r="PSH220" s="19"/>
      <c r="PSI220" s="67"/>
      <c r="PSJ220" s="67"/>
      <c r="PSK220" s="31"/>
      <c r="PSL220" s="19"/>
      <c r="PSM220" s="67"/>
      <c r="PSN220" s="67"/>
      <c r="PSO220" s="31"/>
      <c r="PSP220" s="19"/>
      <c r="PSQ220" s="67"/>
      <c r="PSR220" s="67"/>
      <c r="PSS220" s="31"/>
      <c r="PST220" s="19"/>
      <c r="PSU220" s="67"/>
      <c r="PSV220" s="67"/>
      <c r="PSW220" s="31"/>
      <c r="PSX220" s="19"/>
      <c r="PSY220" s="67"/>
      <c r="PSZ220" s="67"/>
      <c r="PTA220" s="31"/>
      <c r="PTB220" s="19"/>
      <c r="PTC220" s="67"/>
      <c r="PTD220" s="67"/>
      <c r="PTE220" s="31"/>
      <c r="PTF220" s="19"/>
      <c r="PTG220" s="67"/>
      <c r="PTH220" s="67"/>
      <c r="PTI220" s="31"/>
      <c r="PTJ220" s="19"/>
      <c r="PTK220" s="67"/>
      <c r="PTL220" s="67"/>
      <c r="PTM220" s="31"/>
      <c r="PTN220" s="19"/>
      <c r="PTO220" s="67"/>
      <c r="PTP220" s="67"/>
      <c r="PTQ220" s="31"/>
      <c r="PTR220" s="19"/>
      <c r="PTS220" s="67"/>
      <c r="PTT220" s="67"/>
      <c r="PTU220" s="31"/>
      <c r="PTV220" s="19"/>
      <c r="PTW220" s="67"/>
      <c r="PTX220" s="67"/>
      <c r="PTY220" s="31"/>
      <c r="PTZ220" s="19"/>
      <c r="PUA220" s="67"/>
      <c r="PUB220" s="67"/>
      <c r="PUC220" s="31"/>
      <c r="PUD220" s="19"/>
      <c r="PUE220" s="67"/>
      <c r="PUF220" s="67"/>
      <c r="PUG220" s="31"/>
      <c r="PUH220" s="19"/>
      <c r="PUI220" s="67"/>
      <c r="PUJ220" s="67"/>
      <c r="PUK220" s="31"/>
      <c r="PUL220" s="19"/>
      <c r="PUM220" s="67"/>
      <c r="PUN220" s="67"/>
      <c r="PUO220" s="31"/>
      <c r="PUP220" s="19"/>
      <c r="PUQ220" s="67"/>
      <c r="PUR220" s="67"/>
      <c r="PUS220" s="31"/>
      <c r="PUT220" s="19"/>
      <c r="PUU220" s="67"/>
      <c r="PUV220" s="67"/>
      <c r="PUW220" s="31"/>
      <c r="PUX220" s="19"/>
      <c r="PUY220" s="67"/>
      <c r="PUZ220" s="67"/>
      <c r="PVA220" s="31"/>
      <c r="PVB220" s="19"/>
      <c r="PVC220" s="67"/>
      <c r="PVD220" s="67"/>
      <c r="PVE220" s="31"/>
      <c r="PVF220" s="19"/>
      <c r="PVG220" s="67"/>
      <c r="PVH220" s="67"/>
      <c r="PVI220" s="31"/>
      <c r="PVJ220" s="19"/>
      <c r="PVK220" s="67"/>
      <c r="PVL220" s="67"/>
      <c r="PVM220" s="31"/>
      <c r="PVN220" s="19"/>
      <c r="PVO220" s="67"/>
      <c r="PVP220" s="67"/>
      <c r="PVQ220" s="31"/>
      <c r="PVR220" s="19"/>
      <c r="PVS220" s="67"/>
      <c r="PVT220" s="67"/>
      <c r="PVU220" s="31"/>
      <c r="PVV220" s="19"/>
      <c r="PVW220" s="67"/>
      <c r="PVX220" s="67"/>
      <c r="PVY220" s="31"/>
      <c r="PVZ220" s="19"/>
      <c r="PWA220" s="67"/>
      <c r="PWB220" s="67"/>
      <c r="PWC220" s="31"/>
      <c r="PWD220" s="19"/>
      <c r="PWE220" s="67"/>
      <c r="PWF220" s="67"/>
      <c r="PWG220" s="31"/>
      <c r="PWH220" s="19"/>
      <c r="PWI220" s="67"/>
      <c r="PWJ220" s="67"/>
      <c r="PWK220" s="31"/>
      <c r="PWL220" s="19"/>
      <c r="PWM220" s="67"/>
      <c r="PWN220" s="67"/>
      <c r="PWO220" s="31"/>
      <c r="PWP220" s="19"/>
      <c r="PWQ220" s="67"/>
      <c r="PWR220" s="67"/>
      <c r="PWS220" s="31"/>
      <c r="PWT220" s="19"/>
      <c r="PWU220" s="67"/>
      <c r="PWV220" s="67"/>
      <c r="PWW220" s="31"/>
      <c r="PWX220" s="19"/>
      <c r="PWY220" s="67"/>
      <c r="PWZ220" s="67"/>
      <c r="PXA220" s="31"/>
      <c r="PXB220" s="19"/>
      <c r="PXC220" s="67"/>
      <c r="PXD220" s="67"/>
      <c r="PXE220" s="31"/>
      <c r="PXF220" s="19"/>
      <c r="PXG220" s="67"/>
      <c r="PXH220" s="67"/>
      <c r="PXI220" s="31"/>
      <c r="PXJ220" s="19"/>
      <c r="PXK220" s="67"/>
      <c r="PXL220" s="67"/>
      <c r="PXM220" s="31"/>
      <c r="PXN220" s="19"/>
      <c r="PXO220" s="67"/>
      <c r="PXP220" s="67"/>
      <c r="PXQ220" s="31"/>
      <c r="PXR220" s="19"/>
      <c r="PXS220" s="67"/>
      <c r="PXT220" s="67"/>
      <c r="PXU220" s="31"/>
      <c r="PXV220" s="19"/>
      <c r="PXW220" s="67"/>
      <c r="PXX220" s="67"/>
      <c r="PXY220" s="31"/>
      <c r="PXZ220" s="19"/>
      <c r="PYA220" s="67"/>
      <c r="PYB220" s="67"/>
      <c r="PYC220" s="31"/>
      <c r="PYD220" s="19"/>
      <c r="PYE220" s="67"/>
      <c r="PYF220" s="67"/>
      <c r="PYG220" s="31"/>
      <c r="PYH220" s="19"/>
      <c r="PYI220" s="67"/>
      <c r="PYJ220" s="67"/>
      <c r="PYK220" s="31"/>
      <c r="PYL220" s="19"/>
      <c r="PYM220" s="67"/>
      <c r="PYN220" s="67"/>
      <c r="PYO220" s="31"/>
      <c r="PYP220" s="19"/>
      <c r="PYQ220" s="67"/>
      <c r="PYR220" s="67"/>
      <c r="PYS220" s="31"/>
      <c r="PYT220" s="19"/>
      <c r="PYU220" s="67"/>
      <c r="PYV220" s="67"/>
      <c r="PYW220" s="31"/>
      <c r="PYX220" s="19"/>
      <c r="PYY220" s="67"/>
      <c r="PYZ220" s="67"/>
      <c r="PZA220" s="31"/>
      <c r="PZB220" s="19"/>
      <c r="PZC220" s="67"/>
      <c r="PZD220" s="67"/>
      <c r="PZE220" s="31"/>
      <c r="PZF220" s="19"/>
      <c r="PZG220" s="67"/>
      <c r="PZH220" s="67"/>
      <c r="PZI220" s="31"/>
      <c r="PZJ220" s="19"/>
      <c r="PZK220" s="67"/>
      <c r="PZL220" s="67"/>
      <c r="PZM220" s="31"/>
      <c r="PZN220" s="19"/>
      <c r="PZO220" s="67"/>
      <c r="PZP220" s="67"/>
      <c r="PZQ220" s="31"/>
      <c r="PZR220" s="19"/>
      <c r="PZS220" s="67"/>
      <c r="PZT220" s="67"/>
      <c r="PZU220" s="31"/>
      <c r="PZV220" s="19"/>
      <c r="PZW220" s="67"/>
      <c r="PZX220" s="67"/>
      <c r="PZY220" s="31"/>
      <c r="PZZ220" s="19"/>
      <c r="QAA220" s="67"/>
      <c r="QAB220" s="67"/>
      <c r="QAC220" s="31"/>
      <c r="QAD220" s="19"/>
      <c r="QAE220" s="67"/>
      <c r="QAF220" s="67"/>
      <c r="QAG220" s="31"/>
      <c r="QAH220" s="19"/>
      <c r="QAI220" s="67"/>
      <c r="QAJ220" s="67"/>
      <c r="QAK220" s="31"/>
      <c r="QAL220" s="19"/>
      <c r="QAM220" s="67"/>
      <c r="QAN220" s="67"/>
      <c r="QAO220" s="31"/>
      <c r="QAP220" s="19"/>
      <c r="QAQ220" s="67"/>
      <c r="QAR220" s="67"/>
      <c r="QAS220" s="31"/>
      <c r="QAT220" s="19"/>
      <c r="QAU220" s="67"/>
      <c r="QAV220" s="67"/>
      <c r="QAW220" s="31"/>
      <c r="QAX220" s="19"/>
      <c r="QAY220" s="67"/>
      <c r="QAZ220" s="67"/>
      <c r="QBA220" s="31"/>
      <c r="QBB220" s="19"/>
      <c r="QBC220" s="67"/>
      <c r="QBD220" s="67"/>
      <c r="QBE220" s="31"/>
      <c r="QBF220" s="19"/>
      <c r="QBG220" s="67"/>
      <c r="QBH220" s="67"/>
      <c r="QBI220" s="31"/>
      <c r="QBJ220" s="19"/>
      <c r="QBK220" s="67"/>
      <c r="QBL220" s="67"/>
      <c r="QBM220" s="31"/>
      <c r="QBN220" s="19"/>
      <c r="QBO220" s="67"/>
      <c r="QBP220" s="67"/>
      <c r="QBQ220" s="31"/>
      <c r="QBR220" s="19"/>
      <c r="QBS220" s="67"/>
      <c r="QBT220" s="67"/>
      <c r="QBU220" s="31"/>
      <c r="QBV220" s="19"/>
      <c r="QBW220" s="67"/>
      <c r="QBX220" s="67"/>
      <c r="QBY220" s="31"/>
      <c r="QBZ220" s="19"/>
      <c r="QCA220" s="67"/>
      <c r="QCB220" s="67"/>
      <c r="QCC220" s="31"/>
      <c r="QCD220" s="19"/>
      <c r="QCE220" s="67"/>
      <c r="QCF220" s="67"/>
      <c r="QCG220" s="31"/>
      <c r="QCH220" s="19"/>
      <c r="QCI220" s="67"/>
      <c r="QCJ220" s="67"/>
      <c r="QCK220" s="31"/>
      <c r="QCL220" s="19"/>
      <c r="QCM220" s="67"/>
      <c r="QCN220" s="67"/>
      <c r="QCO220" s="31"/>
      <c r="QCP220" s="19"/>
      <c r="QCQ220" s="67"/>
      <c r="QCR220" s="67"/>
      <c r="QCS220" s="31"/>
      <c r="QCT220" s="19"/>
      <c r="QCU220" s="67"/>
      <c r="QCV220" s="67"/>
      <c r="QCW220" s="31"/>
      <c r="QCX220" s="19"/>
      <c r="QCY220" s="67"/>
      <c r="QCZ220" s="67"/>
      <c r="QDA220" s="31"/>
      <c r="QDB220" s="19"/>
      <c r="QDC220" s="67"/>
      <c r="QDD220" s="67"/>
      <c r="QDE220" s="31"/>
      <c r="QDF220" s="19"/>
      <c r="QDG220" s="67"/>
      <c r="QDH220" s="67"/>
      <c r="QDI220" s="31"/>
      <c r="QDJ220" s="19"/>
      <c r="QDK220" s="67"/>
      <c r="QDL220" s="67"/>
      <c r="QDM220" s="31"/>
      <c r="QDN220" s="19"/>
      <c r="QDO220" s="67"/>
      <c r="QDP220" s="67"/>
      <c r="QDQ220" s="31"/>
      <c r="QDR220" s="19"/>
      <c r="QDS220" s="67"/>
      <c r="QDT220" s="67"/>
      <c r="QDU220" s="31"/>
      <c r="QDV220" s="19"/>
      <c r="QDW220" s="67"/>
      <c r="QDX220" s="67"/>
      <c r="QDY220" s="31"/>
      <c r="QDZ220" s="19"/>
      <c r="QEA220" s="67"/>
      <c r="QEB220" s="67"/>
      <c r="QEC220" s="31"/>
      <c r="QED220" s="19"/>
      <c r="QEE220" s="67"/>
      <c r="QEF220" s="67"/>
      <c r="QEG220" s="31"/>
      <c r="QEH220" s="19"/>
      <c r="QEI220" s="67"/>
      <c r="QEJ220" s="67"/>
      <c r="QEK220" s="31"/>
      <c r="QEL220" s="19"/>
      <c r="QEM220" s="67"/>
      <c r="QEN220" s="67"/>
      <c r="QEO220" s="31"/>
      <c r="QEP220" s="19"/>
      <c r="QEQ220" s="67"/>
      <c r="QER220" s="67"/>
      <c r="QES220" s="31"/>
      <c r="QET220" s="19"/>
      <c r="QEU220" s="67"/>
      <c r="QEV220" s="67"/>
      <c r="QEW220" s="31"/>
      <c r="QEX220" s="19"/>
      <c r="QEY220" s="67"/>
      <c r="QEZ220" s="67"/>
      <c r="QFA220" s="31"/>
      <c r="QFB220" s="19"/>
      <c r="QFC220" s="67"/>
      <c r="QFD220" s="67"/>
      <c r="QFE220" s="31"/>
      <c r="QFF220" s="19"/>
      <c r="QFG220" s="67"/>
      <c r="QFH220" s="67"/>
      <c r="QFI220" s="31"/>
      <c r="QFJ220" s="19"/>
      <c r="QFK220" s="67"/>
      <c r="QFL220" s="67"/>
      <c r="QFM220" s="31"/>
      <c r="QFN220" s="19"/>
      <c r="QFO220" s="67"/>
      <c r="QFP220" s="67"/>
      <c r="QFQ220" s="31"/>
      <c r="QFR220" s="19"/>
      <c r="QFS220" s="67"/>
      <c r="QFT220" s="67"/>
      <c r="QFU220" s="31"/>
      <c r="QFV220" s="19"/>
      <c r="QFW220" s="67"/>
      <c r="QFX220" s="67"/>
      <c r="QFY220" s="31"/>
      <c r="QFZ220" s="19"/>
      <c r="QGA220" s="67"/>
      <c r="QGB220" s="67"/>
      <c r="QGC220" s="31"/>
      <c r="QGD220" s="19"/>
      <c r="QGE220" s="67"/>
      <c r="QGF220" s="67"/>
      <c r="QGG220" s="31"/>
      <c r="QGH220" s="19"/>
      <c r="QGI220" s="67"/>
      <c r="QGJ220" s="67"/>
      <c r="QGK220" s="31"/>
      <c r="QGL220" s="19"/>
      <c r="QGM220" s="67"/>
      <c r="QGN220" s="67"/>
      <c r="QGO220" s="31"/>
      <c r="QGP220" s="19"/>
      <c r="QGQ220" s="67"/>
      <c r="QGR220" s="67"/>
      <c r="QGS220" s="31"/>
      <c r="QGT220" s="19"/>
      <c r="QGU220" s="67"/>
      <c r="QGV220" s="67"/>
      <c r="QGW220" s="31"/>
      <c r="QGX220" s="19"/>
      <c r="QGY220" s="67"/>
      <c r="QGZ220" s="67"/>
      <c r="QHA220" s="31"/>
      <c r="QHB220" s="19"/>
      <c r="QHC220" s="67"/>
      <c r="QHD220" s="67"/>
      <c r="QHE220" s="31"/>
      <c r="QHF220" s="19"/>
      <c r="QHG220" s="67"/>
      <c r="QHH220" s="67"/>
      <c r="QHI220" s="31"/>
      <c r="QHJ220" s="19"/>
      <c r="QHK220" s="67"/>
      <c r="QHL220" s="67"/>
      <c r="QHM220" s="31"/>
      <c r="QHN220" s="19"/>
      <c r="QHO220" s="67"/>
      <c r="QHP220" s="67"/>
      <c r="QHQ220" s="31"/>
      <c r="QHR220" s="19"/>
      <c r="QHS220" s="67"/>
      <c r="QHT220" s="67"/>
      <c r="QHU220" s="31"/>
      <c r="QHV220" s="19"/>
      <c r="QHW220" s="67"/>
      <c r="QHX220" s="67"/>
      <c r="QHY220" s="31"/>
      <c r="QHZ220" s="19"/>
      <c r="QIA220" s="67"/>
      <c r="QIB220" s="67"/>
      <c r="QIC220" s="31"/>
      <c r="QID220" s="19"/>
      <c r="QIE220" s="67"/>
      <c r="QIF220" s="67"/>
      <c r="QIG220" s="31"/>
      <c r="QIH220" s="19"/>
      <c r="QII220" s="67"/>
      <c r="QIJ220" s="67"/>
      <c r="QIK220" s="31"/>
      <c r="QIL220" s="19"/>
      <c r="QIM220" s="67"/>
      <c r="QIN220" s="67"/>
      <c r="QIO220" s="31"/>
      <c r="QIP220" s="19"/>
      <c r="QIQ220" s="67"/>
      <c r="QIR220" s="67"/>
      <c r="QIS220" s="31"/>
      <c r="QIT220" s="19"/>
      <c r="QIU220" s="67"/>
      <c r="QIV220" s="67"/>
      <c r="QIW220" s="31"/>
      <c r="QIX220" s="19"/>
      <c r="QIY220" s="67"/>
      <c r="QIZ220" s="67"/>
      <c r="QJA220" s="31"/>
      <c r="QJB220" s="19"/>
      <c r="QJC220" s="67"/>
      <c r="QJD220" s="67"/>
      <c r="QJE220" s="31"/>
      <c r="QJF220" s="19"/>
      <c r="QJG220" s="67"/>
      <c r="QJH220" s="67"/>
      <c r="QJI220" s="31"/>
      <c r="QJJ220" s="19"/>
      <c r="QJK220" s="67"/>
      <c r="QJL220" s="67"/>
      <c r="QJM220" s="31"/>
      <c r="QJN220" s="19"/>
      <c r="QJO220" s="67"/>
      <c r="QJP220" s="67"/>
      <c r="QJQ220" s="31"/>
      <c r="QJR220" s="19"/>
      <c r="QJS220" s="67"/>
      <c r="QJT220" s="67"/>
      <c r="QJU220" s="31"/>
      <c r="QJV220" s="19"/>
      <c r="QJW220" s="67"/>
      <c r="QJX220" s="67"/>
      <c r="QJY220" s="31"/>
      <c r="QJZ220" s="19"/>
      <c r="QKA220" s="67"/>
      <c r="QKB220" s="67"/>
      <c r="QKC220" s="31"/>
      <c r="QKD220" s="19"/>
      <c r="QKE220" s="67"/>
      <c r="QKF220" s="67"/>
      <c r="QKG220" s="31"/>
      <c r="QKH220" s="19"/>
      <c r="QKI220" s="67"/>
      <c r="QKJ220" s="67"/>
      <c r="QKK220" s="31"/>
      <c r="QKL220" s="19"/>
      <c r="QKM220" s="67"/>
      <c r="QKN220" s="67"/>
      <c r="QKO220" s="31"/>
      <c r="QKP220" s="19"/>
      <c r="QKQ220" s="67"/>
      <c r="QKR220" s="67"/>
      <c r="QKS220" s="31"/>
      <c r="QKT220" s="19"/>
      <c r="QKU220" s="67"/>
      <c r="QKV220" s="67"/>
      <c r="QKW220" s="31"/>
      <c r="QKX220" s="19"/>
      <c r="QKY220" s="67"/>
      <c r="QKZ220" s="67"/>
      <c r="QLA220" s="31"/>
      <c r="QLB220" s="19"/>
      <c r="QLC220" s="67"/>
      <c r="QLD220" s="67"/>
      <c r="QLE220" s="31"/>
      <c r="QLF220" s="19"/>
      <c r="QLG220" s="67"/>
      <c r="QLH220" s="67"/>
      <c r="QLI220" s="31"/>
      <c r="QLJ220" s="19"/>
      <c r="QLK220" s="67"/>
      <c r="QLL220" s="67"/>
      <c r="QLM220" s="31"/>
      <c r="QLN220" s="19"/>
      <c r="QLO220" s="67"/>
      <c r="QLP220" s="67"/>
      <c r="QLQ220" s="31"/>
      <c r="QLR220" s="19"/>
      <c r="QLS220" s="67"/>
      <c r="QLT220" s="67"/>
      <c r="QLU220" s="31"/>
      <c r="QLV220" s="19"/>
      <c r="QLW220" s="67"/>
      <c r="QLX220" s="67"/>
      <c r="QLY220" s="31"/>
      <c r="QLZ220" s="19"/>
      <c r="QMA220" s="67"/>
      <c r="QMB220" s="67"/>
      <c r="QMC220" s="31"/>
      <c r="QMD220" s="19"/>
      <c r="QME220" s="67"/>
      <c r="QMF220" s="67"/>
      <c r="QMG220" s="31"/>
      <c r="QMH220" s="19"/>
      <c r="QMI220" s="67"/>
      <c r="QMJ220" s="67"/>
      <c r="QMK220" s="31"/>
      <c r="QML220" s="19"/>
      <c r="QMM220" s="67"/>
      <c r="QMN220" s="67"/>
      <c r="QMO220" s="31"/>
      <c r="QMP220" s="19"/>
      <c r="QMQ220" s="67"/>
      <c r="QMR220" s="67"/>
      <c r="QMS220" s="31"/>
      <c r="QMT220" s="19"/>
      <c r="QMU220" s="67"/>
      <c r="QMV220" s="67"/>
      <c r="QMW220" s="31"/>
      <c r="QMX220" s="19"/>
      <c r="QMY220" s="67"/>
      <c r="QMZ220" s="67"/>
      <c r="QNA220" s="31"/>
      <c r="QNB220" s="19"/>
      <c r="QNC220" s="67"/>
      <c r="QND220" s="67"/>
      <c r="QNE220" s="31"/>
      <c r="QNF220" s="19"/>
      <c r="QNG220" s="67"/>
      <c r="QNH220" s="67"/>
      <c r="QNI220" s="31"/>
      <c r="QNJ220" s="19"/>
      <c r="QNK220" s="67"/>
      <c r="QNL220" s="67"/>
      <c r="QNM220" s="31"/>
      <c r="QNN220" s="19"/>
      <c r="QNO220" s="67"/>
      <c r="QNP220" s="67"/>
      <c r="QNQ220" s="31"/>
      <c r="QNR220" s="19"/>
      <c r="QNS220" s="67"/>
      <c r="QNT220" s="67"/>
      <c r="QNU220" s="31"/>
      <c r="QNV220" s="19"/>
      <c r="QNW220" s="67"/>
      <c r="QNX220" s="67"/>
      <c r="QNY220" s="31"/>
      <c r="QNZ220" s="19"/>
      <c r="QOA220" s="67"/>
      <c r="QOB220" s="67"/>
      <c r="QOC220" s="31"/>
      <c r="QOD220" s="19"/>
      <c r="QOE220" s="67"/>
      <c r="QOF220" s="67"/>
      <c r="QOG220" s="31"/>
      <c r="QOH220" s="19"/>
      <c r="QOI220" s="67"/>
      <c r="QOJ220" s="67"/>
      <c r="QOK220" s="31"/>
      <c r="QOL220" s="19"/>
      <c r="QOM220" s="67"/>
      <c r="QON220" s="67"/>
      <c r="QOO220" s="31"/>
      <c r="QOP220" s="19"/>
      <c r="QOQ220" s="67"/>
      <c r="QOR220" s="67"/>
      <c r="QOS220" s="31"/>
      <c r="QOT220" s="19"/>
      <c r="QOU220" s="67"/>
      <c r="QOV220" s="67"/>
      <c r="QOW220" s="31"/>
      <c r="QOX220" s="19"/>
      <c r="QOY220" s="67"/>
      <c r="QOZ220" s="67"/>
      <c r="QPA220" s="31"/>
      <c r="QPB220" s="19"/>
      <c r="QPC220" s="67"/>
      <c r="QPD220" s="67"/>
      <c r="QPE220" s="31"/>
      <c r="QPF220" s="19"/>
      <c r="QPG220" s="67"/>
      <c r="QPH220" s="67"/>
      <c r="QPI220" s="31"/>
      <c r="QPJ220" s="19"/>
      <c r="QPK220" s="67"/>
      <c r="QPL220" s="67"/>
      <c r="QPM220" s="31"/>
      <c r="QPN220" s="19"/>
      <c r="QPO220" s="67"/>
      <c r="QPP220" s="67"/>
      <c r="QPQ220" s="31"/>
      <c r="QPR220" s="19"/>
      <c r="QPS220" s="67"/>
      <c r="QPT220" s="67"/>
      <c r="QPU220" s="31"/>
      <c r="QPV220" s="19"/>
      <c r="QPW220" s="67"/>
      <c r="QPX220" s="67"/>
      <c r="QPY220" s="31"/>
      <c r="QPZ220" s="19"/>
      <c r="QQA220" s="67"/>
      <c r="QQB220" s="67"/>
      <c r="QQC220" s="31"/>
      <c r="QQD220" s="19"/>
      <c r="QQE220" s="67"/>
      <c r="QQF220" s="67"/>
      <c r="QQG220" s="31"/>
      <c r="QQH220" s="19"/>
      <c r="QQI220" s="67"/>
      <c r="QQJ220" s="67"/>
      <c r="QQK220" s="31"/>
      <c r="QQL220" s="19"/>
      <c r="QQM220" s="67"/>
      <c r="QQN220" s="67"/>
      <c r="QQO220" s="31"/>
      <c r="QQP220" s="19"/>
      <c r="QQQ220" s="67"/>
      <c r="QQR220" s="67"/>
      <c r="QQS220" s="31"/>
      <c r="QQT220" s="19"/>
      <c r="QQU220" s="67"/>
      <c r="QQV220" s="67"/>
      <c r="QQW220" s="31"/>
      <c r="QQX220" s="19"/>
      <c r="QQY220" s="67"/>
      <c r="QQZ220" s="67"/>
      <c r="QRA220" s="31"/>
      <c r="QRB220" s="19"/>
      <c r="QRC220" s="67"/>
      <c r="QRD220" s="67"/>
      <c r="QRE220" s="31"/>
      <c r="QRF220" s="19"/>
      <c r="QRG220" s="67"/>
      <c r="QRH220" s="67"/>
      <c r="QRI220" s="31"/>
      <c r="QRJ220" s="19"/>
      <c r="QRK220" s="67"/>
      <c r="QRL220" s="67"/>
      <c r="QRM220" s="31"/>
      <c r="QRN220" s="19"/>
      <c r="QRO220" s="67"/>
      <c r="QRP220" s="67"/>
      <c r="QRQ220" s="31"/>
      <c r="QRR220" s="19"/>
      <c r="QRS220" s="67"/>
      <c r="QRT220" s="67"/>
      <c r="QRU220" s="31"/>
      <c r="QRV220" s="19"/>
      <c r="QRW220" s="67"/>
      <c r="QRX220" s="67"/>
      <c r="QRY220" s="31"/>
      <c r="QRZ220" s="19"/>
      <c r="QSA220" s="67"/>
      <c r="QSB220" s="67"/>
      <c r="QSC220" s="31"/>
      <c r="QSD220" s="19"/>
      <c r="QSE220" s="67"/>
      <c r="QSF220" s="67"/>
      <c r="QSG220" s="31"/>
      <c r="QSH220" s="19"/>
      <c r="QSI220" s="67"/>
      <c r="QSJ220" s="67"/>
      <c r="QSK220" s="31"/>
      <c r="QSL220" s="19"/>
      <c r="QSM220" s="67"/>
      <c r="QSN220" s="67"/>
      <c r="QSO220" s="31"/>
      <c r="QSP220" s="19"/>
      <c r="QSQ220" s="67"/>
      <c r="QSR220" s="67"/>
      <c r="QSS220" s="31"/>
      <c r="QST220" s="19"/>
      <c r="QSU220" s="67"/>
      <c r="QSV220" s="67"/>
      <c r="QSW220" s="31"/>
      <c r="QSX220" s="19"/>
      <c r="QSY220" s="67"/>
      <c r="QSZ220" s="67"/>
      <c r="QTA220" s="31"/>
      <c r="QTB220" s="19"/>
      <c r="QTC220" s="67"/>
      <c r="QTD220" s="67"/>
      <c r="QTE220" s="31"/>
      <c r="QTF220" s="19"/>
      <c r="QTG220" s="67"/>
      <c r="QTH220" s="67"/>
      <c r="QTI220" s="31"/>
      <c r="QTJ220" s="19"/>
      <c r="QTK220" s="67"/>
      <c r="QTL220" s="67"/>
      <c r="QTM220" s="31"/>
      <c r="QTN220" s="19"/>
      <c r="QTO220" s="67"/>
      <c r="QTP220" s="67"/>
      <c r="QTQ220" s="31"/>
      <c r="QTR220" s="19"/>
      <c r="QTS220" s="67"/>
      <c r="QTT220" s="67"/>
      <c r="QTU220" s="31"/>
      <c r="QTV220" s="19"/>
      <c r="QTW220" s="67"/>
      <c r="QTX220" s="67"/>
      <c r="QTY220" s="31"/>
      <c r="QTZ220" s="19"/>
      <c r="QUA220" s="67"/>
      <c r="QUB220" s="67"/>
      <c r="QUC220" s="31"/>
      <c r="QUD220" s="19"/>
      <c r="QUE220" s="67"/>
      <c r="QUF220" s="67"/>
      <c r="QUG220" s="31"/>
      <c r="QUH220" s="19"/>
      <c r="QUI220" s="67"/>
      <c r="QUJ220" s="67"/>
      <c r="QUK220" s="31"/>
      <c r="QUL220" s="19"/>
      <c r="QUM220" s="67"/>
      <c r="QUN220" s="67"/>
      <c r="QUO220" s="31"/>
      <c r="QUP220" s="19"/>
      <c r="QUQ220" s="67"/>
      <c r="QUR220" s="67"/>
      <c r="QUS220" s="31"/>
      <c r="QUT220" s="19"/>
      <c r="QUU220" s="67"/>
      <c r="QUV220" s="67"/>
      <c r="QUW220" s="31"/>
      <c r="QUX220" s="19"/>
      <c r="QUY220" s="67"/>
      <c r="QUZ220" s="67"/>
      <c r="QVA220" s="31"/>
      <c r="QVB220" s="19"/>
      <c r="QVC220" s="67"/>
      <c r="QVD220" s="67"/>
      <c r="QVE220" s="31"/>
      <c r="QVF220" s="19"/>
      <c r="QVG220" s="67"/>
      <c r="QVH220" s="67"/>
      <c r="QVI220" s="31"/>
      <c r="QVJ220" s="19"/>
      <c r="QVK220" s="67"/>
      <c r="QVL220" s="67"/>
      <c r="QVM220" s="31"/>
      <c r="QVN220" s="19"/>
      <c r="QVO220" s="67"/>
      <c r="QVP220" s="67"/>
      <c r="QVQ220" s="31"/>
      <c r="QVR220" s="19"/>
      <c r="QVS220" s="67"/>
      <c r="QVT220" s="67"/>
      <c r="QVU220" s="31"/>
      <c r="QVV220" s="19"/>
      <c r="QVW220" s="67"/>
      <c r="QVX220" s="67"/>
      <c r="QVY220" s="31"/>
      <c r="QVZ220" s="19"/>
      <c r="QWA220" s="67"/>
      <c r="QWB220" s="67"/>
      <c r="QWC220" s="31"/>
      <c r="QWD220" s="19"/>
      <c r="QWE220" s="67"/>
      <c r="QWF220" s="67"/>
      <c r="QWG220" s="31"/>
      <c r="QWH220" s="19"/>
      <c r="QWI220" s="67"/>
      <c r="QWJ220" s="67"/>
      <c r="QWK220" s="31"/>
      <c r="QWL220" s="19"/>
      <c r="QWM220" s="67"/>
      <c r="QWN220" s="67"/>
      <c r="QWO220" s="31"/>
      <c r="QWP220" s="19"/>
      <c r="QWQ220" s="67"/>
      <c r="QWR220" s="67"/>
      <c r="QWS220" s="31"/>
      <c r="QWT220" s="19"/>
      <c r="QWU220" s="67"/>
      <c r="QWV220" s="67"/>
      <c r="QWW220" s="31"/>
      <c r="QWX220" s="19"/>
      <c r="QWY220" s="67"/>
      <c r="QWZ220" s="67"/>
      <c r="QXA220" s="31"/>
      <c r="QXB220" s="19"/>
      <c r="QXC220" s="67"/>
      <c r="QXD220" s="67"/>
      <c r="QXE220" s="31"/>
      <c r="QXF220" s="19"/>
      <c r="QXG220" s="67"/>
      <c r="QXH220" s="67"/>
      <c r="QXI220" s="31"/>
      <c r="QXJ220" s="19"/>
      <c r="QXK220" s="67"/>
      <c r="QXL220" s="67"/>
      <c r="QXM220" s="31"/>
      <c r="QXN220" s="19"/>
      <c r="QXO220" s="67"/>
      <c r="QXP220" s="67"/>
      <c r="QXQ220" s="31"/>
      <c r="QXR220" s="19"/>
      <c r="QXS220" s="67"/>
      <c r="QXT220" s="67"/>
      <c r="QXU220" s="31"/>
      <c r="QXV220" s="19"/>
      <c r="QXW220" s="67"/>
      <c r="QXX220" s="67"/>
      <c r="QXY220" s="31"/>
      <c r="QXZ220" s="19"/>
      <c r="QYA220" s="67"/>
      <c r="QYB220" s="67"/>
      <c r="QYC220" s="31"/>
      <c r="QYD220" s="19"/>
      <c r="QYE220" s="67"/>
      <c r="QYF220" s="67"/>
      <c r="QYG220" s="31"/>
      <c r="QYH220" s="19"/>
      <c r="QYI220" s="67"/>
      <c r="QYJ220" s="67"/>
      <c r="QYK220" s="31"/>
      <c r="QYL220" s="19"/>
      <c r="QYM220" s="67"/>
      <c r="QYN220" s="67"/>
      <c r="QYO220" s="31"/>
      <c r="QYP220" s="19"/>
      <c r="QYQ220" s="67"/>
      <c r="QYR220" s="67"/>
      <c r="QYS220" s="31"/>
      <c r="QYT220" s="19"/>
      <c r="QYU220" s="67"/>
      <c r="QYV220" s="67"/>
      <c r="QYW220" s="31"/>
      <c r="QYX220" s="19"/>
      <c r="QYY220" s="67"/>
      <c r="QYZ220" s="67"/>
      <c r="QZA220" s="31"/>
      <c r="QZB220" s="19"/>
      <c r="QZC220" s="67"/>
      <c r="QZD220" s="67"/>
      <c r="QZE220" s="31"/>
      <c r="QZF220" s="19"/>
      <c r="QZG220" s="67"/>
      <c r="QZH220" s="67"/>
      <c r="QZI220" s="31"/>
      <c r="QZJ220" s="19"/>
      <c r="QZK220" s="67"/>
      <c r="QZL220" s="67"/>
      <c r="QZM220" s="31"/>
      <c r="QZN220" s="19"/>
      <c r="QZO220" s="67"/>
      <c r="QZP220" s="67"/>
      <c r="QZQ220" s="31"/>
      <c r="QZR220" s="19"/>
      <c r="QZS220" s="67"/>
      <c r="QZT220" s="67"/>
      <c r="QZU220" s="31"/>
      <c r="QZV220" s="19"/>
      <c r="QZW220" s="67"/>
      <c r="QZX220" s="67"/>
      <c r="QZY220" s="31"/>
      <c r="QZZ220" s="19"/>
      <c r="RAA220" s="67"/>
      <c r="RAB220" s="67"/>
      <c r="RAC220" s="31"/>
      <c r="RAD220" s="19"/>
      <c r="RAE220" s="67"/>
      <c r="RAF220" s="67"/>
      <c r="RAG220" s="31"/>
      <c r="RAH220" s="19"/>
      <c r="RAI220" s="67"/>
      <c r="RAJ220" s="67"/>
      <c r="RAK220" s="31"/>
      <c r="RAL220" s="19"/>
      <c r="RAM220" s="67"/>
      <c r="RAN220" s="67"/>
      <c r="RAO220" s="31"/>
      <c r="RAP220" s="19"/>
      <c r="RAQ220" s="67"/>
      <c r="RAR220" s="67"/>
      <c r="RAS220" s="31"/>
      <c r="RAT220" s="19"/>
      <c r="RAU220" s="67"/>
      <c r="RAV220" s="67"/>
      <c r="RAW220" s="31"/>
      <c r="RAX220" s="19"/>
      <c r="RAY220" s="67"/>
      <c r="RAZ220" s="67"/>
      <c r="RBA220" s="31"/>
      <c r="RBB220" s="19"/>
      <c r="RBC220" s="67"/>
      <c r="RBD220" s="67"/>
      <c r="RBE220" s="31"/>
      <c r="RBF220" s="19"/>
      <c r="RBG220" s="67"/>
      <c r="RBH220" s="67"/>
      <c r="RBI220" s="31"/>
      <c r="RBJ220" s="19"/>
      <c r="RBK220" s="67"/>
      <c r="RBL220" s="67"/>
      <c r="RBM220" s="31"/>
      <c r="RBN220" s="19"/>
      <c r="RBO220" s="67"/>
      <c r="RBP220" s="67"/>
      <c r="RBQ220" s="31"/>
      <c r="RBR220" s="19"/>
      <c r="RBS220" s="67"/>
      <c r="RBT220" s="67"/>
      <c r="RBU220" s="31"/>
      <c r="RBV220" s="19"/>
      <c r="RBW220" s="67"/>
      <c r="RBX220" s="67"/>
      <c r="RBY220" s="31"/>
      <c r="RBZ220" s="19"/>
      <c r="RCA220" s="67"/>
      <c r="RCB220" s="67"/>
      <c r="RCC220" s="31"/>
      <c r="RCD220" s="19"/>
      <c r="RCE220" s="67"/>
      <c r="RCF220" s="67"/>
      <c r="RCG220" s="31"/>
      <c r="RCH220" s="19"/>
      <c r="RCI220" s="67"/>
      <c r="RCJ220" s="67"/>
      <c r="RCK220" s="31"/>
      <c r="RCL220" s="19"/>
      <c r="RCM220" s="67"/>
      <c r="RCN220" s="67"/>
      <c r="RCO220" s="31"/>
      <c r="RCP220" s="19"/>
      <c r="RCQ220" s="67"/>
      <c r="RCR220" s="67"/>
      <c r="RCS220" s="31"/>
      <c r="RCT220" s="19"/>
      <c r="RCU220" s="67"/>
      <c r="RCV220" s="67"/>
      <c r="RCW220" s="31"/>
      <c r="RCX220" s="19"/>
      <c r="RCY220" s="67"/>
      <c r="RCZ220" s="67"/>
      <c r="RDA220" s="31"/>
      <c r="RDB220" s="19"/>
      <c r="RDC220" s="67"/>
      <c r="RDD220" s="67"/>
      <c r="RDE220" s="31"/>
      <c r="RDF220" s="19"/>
      <c r="RDG220" s="67"/>
      <c r="RDH220" s="67"/>
      <c r="RDI220" s="31"/>
      <c r="RDJ220" s="19"/>
      <c r="RDK220" s="67"/>
      <c r="RDL220" s="67"/>
      <c r="RDM220" s="31"/>
      <c r="RDN220" s="19"/>
      <c r="RDO220" s="67"/>
      <c r="RDP220" s="67"/>
      <c r="RDQ220" s="31"/>
      <c r="RDR220" s="19"/>
      <c r="RDS220" s="67"/>
      <c r="RDT220" s="67"/>
      <c r="RDU220" s="31"/>
      <c r="RDV220" s="19"/>
      <c r="RDW220" s="67"/>
      <c r="RDX220" s="67"/>
      <c r="RDY220" s="31"/>
      <c r="RDZ220" s="19"/>
      <c r="REA220" s="67"/>
      <c r="REB220" s="67"/>
      <c r="REC220" s="31"/>
      <c r="RED220" s="19"/>
      <c r="REE220" s="67"/>
      <c r="REF220" s="67"/>
      <c r="REG220" s="31"/>
      <c r="REH220" s="19"/>
      <c r="REI220" s="67"/>
      <c r="REJ220" s="67"/>
      <c r="REK220" s="31"/>
      <c r="REL220" s="19"/>
      <c r="REM220" s="67"/>
      <c r="REN220" s="67"/>
      <c r="REO220" s="31"/>
      <c r="REP220" s="19"/>
      <c r="REQ220" s="67"/>
      <c r="RER220" s="67"/>
      <c r="RES220" s="31"/>
      <c r="RET220" s="19"/>
      <c r="REU220" s="67"/>
      <c r="REV220" s="67"/>
      <c r="REW220" s="31"/>
      <c r="REX220" s="19"/>
      <c r="REY220" s="67"/>
      <c r="REZ220" s="67"/>
      <c r="RFA220" s="31"/>
      <c r="RFB220" s="19"/>
      <c r="RFC220" s="67"/>
      <c r="RFD220" s="67"/>
      <c r="RFE220" s="31"/>
      <c r="RFF220" s="19"/>
      <c r="RFG220" s="67"/>
      <c r="RFH220" s="67"/>
      <c r="RFI220" s="31"/>
      <c r="RFJ220" s="19"/>
      <c r="RFK220" s="67"/>
      <c r="RFL220" s="67"/>
      <c r="RFM220" s="31"/>
      <c r="RFN220" s="19"/>
      <c r="RFO220" s="67"/>
      <c r="RFP220" s="67"/>
      <c r="RFQ220" s="31"/>
      <c r="RFR220" s="19"/>
      <c r="RFS220" s="67"/>
      <c r="RFT220" s="67"/>
      <c r="RFU220" s="31"/>
      <c r="RFV220" s="19"/>
      <c r="RFW220" s="67"/>
      <c r="RFX220" s="67"/>
      <c r="RFY220" s="31"/>
      <c r="RFZ220" s="19"/>
      <c r="RGA220" s="67"/>
      <c r="RGB220" s="67"/>
      <c r="RGC220" s="31"/>
      <c r="RGD220" s="19"/>
      <c r="RGE220" s="67"/>
      <c r="RGF220" s="67"/>
      <c r="RGG220" s="31"/>
      <c r="RGH220" s="19"/>
      <c r="RGI220" s="67"/>
      <c r="RGJ220" s="67"/>
      <c r="RGK220" s="31"/>
      <c r="RGL220" s="19"/>
      <c r="RGM220" s="67"/>
      <c r="RGN220" s="67"/>
      <c r="RGO220" s="31"/>
      <c r="RGP220" s="19"/>
      <c r="RGQ220" s="67"/>
      <c r="RGR220" s="67"/>
      <c r="RGS220" s="31"/>
      <c r="RGT220" s="19"/>
      <c r="RGU220" s="67"/>
      <c r="RGV220" s="67"/>
      <c r="RGW220" s="31"/>
      <c r="RGX220" s="19"/>
      <c r="RGY220" s="67"/>
      <c r="RGZ220" s="67"/>
      <c r="RHA220" s="31"/>
      <c r="RHB220" s="19"/>
      <c r="RHC220" s="67"/>
      <c r="RHD220" s="67"/>
      <c r="RHE220" s="31"/>
      <c r="RHF220" s="19"/>
      <c r="RHG220" s="67"/>
      <c r="RHH220" s="67"/>
      <c r="RHI220" s="31"/>
      <c r="RHJ220" s="19"/>
      <c r="RHK220" s="67"/>
      <c r="RHL220" s="67"/>
      <c r="RHM220" s="31"/>
      <c r="RHN220" s="19"/>
      <c r="RHO220" s="67"/>
      <c r="RHP220" s="67"/>
      <c r="RHQ220" s="31"/>
      <c r="RHR220" s="19"/>
      <c r="RHS220" s="67"/>
      <c r="RHT220" s="67"/>
      <c r="RHU220" s="31"/>
      <c r="RHV220" s="19"/>
      <c r="RHW220" s="67"/>
      <c r="RHX220" s="67"/>
      <c r="RHY220" s="31"/>
      <c r="RHZ220" s="19"/>
      <c r="RIA220" s="67"/>
      <c r="RIB220" s="67"/>
      <c r="RIC220" s="31"/>
      <c r="RID220" s="19"/>
      <c r="RIE220" s="67"/>
      <c r="RIF220" s="67"/>
      <c r="RIG220" s="31"/>
      <c r="RIH220" s="19"/>
      <c r="RII220" s="67"/>
      <c r="RIJ220" s="67"/>
      <c r="RIK220" s="31"/>
      <c r="RIL220" s="19"/>
      <c r="RIM220" s="67"/>
      <c r="RIN220" s="67"/>
      <c r="RIO220" s="31"/>
      <c r="RIP220" s="19"/>
      <c r="RIQ220" s="67"/>
      <c r="RIR220" s="67"/>
      <c r="RIS220" s="31"/>
      <c r="RIT220" s="19"/>
      <c r="RIU220" s="67"/>
      <c r="RIV220" s="67"/>
      <c r="RIW220" s="31"/>
      <c r="RIX220" s="19"/>
      <c r="RIY220" s="67"/>
      <c r="RIZ220" s="67"/>
      <c r="RJA220" s="31"/>
      <c r="RJB220" s="19"/>
      <c r="RJC220" s="67"/>
      <c r="RJD220" s="67"/>
      <c r="RJE220" s="31"/>
      <c r="RJF220" s="19"/>
      <c r="RJG220" s="67"/>
      <c r="RJH220" s="67"/>
      <c r="RJI220" s="31"/>
      <c r="RJJ220" s="19"/>
      <c r="RJK220" s="67"/>
      <c r="RJL220" s="67"/>
      <c r="RJM220" s="31"/>
      <c r="RJN220" s="19"/>
      <c r="RJO220" s="67"/>
      <c r="RJP220" s="67"/>
      <c r="RJQ220" s="31"/>
      <c r="RJR220" s="19"/>
      <c r="RJS220" s="67"/>
      <c r="RJT220" s="67"/>
      <c r="RJU220" s="31"/>
      <c r="RJV220" s="19"/>
      <c r="RJW220" s="67"/>
      <c r="RJX220" s="67"/>
      <c r="RJY220" s="31"/>
      <c r="RJZ220" s="19"/>
      <c r="RKA220" s="67"/>
      <c r="RKB220" s="67"/>
      <c r="RKC220" s="31"/>
      <c r="RKD220" s="19"/>
      <c r="RKE220" s="67"/>
      <c r="RKF220" s="67"/>
      <c r="RKG220" s="31"/>
      <c r="RKH220" s="19"/>
      <c r="RKI220" s="67"/>
      <c r="RKJ220" s="67"/>
      <c r="RKK220" s="31"/>
      <c r="RKL220" s="19"/>
      <c r="RKM220" s="67"/>
      <c r="RKN220" s="67"/>
      <c r="RKO220" s="31"/>
      <c r="RKP220" s="19"/>
      <c r="RKQ220" s="67"/>
      <c r="RKR220" s="67"/>
      <c r="RKS220" s="31"/>
      <c r="RKT220" s="19"/>
      <c r="RKU220" s="67"/>
      <c r="RKV220" s="67"/>
      <c r="RKW220" s="31"/>
      <c r="RKX220" s="19"/>
      <c r="RKY220" s="67"/>
      <c r="RKZ220" s="67"/>
      <c r="RLA220" s="31"/>
      <c r="RLB220" s="19"/>
      <c r="RLC220" s="67"/>
      <c r="RLD220" s="67"/>
      <c r="RLE220" s="31"/>
      <c r="RLF220" s="19"/>
      <c r="RLG220" s="67"/>
      <c r="RLH220" s="67"/>
      <c r="RLI220" s="31"/>
      <c r="RLJ220" s="19"/>
      <c r="RLK220" s="67"/>
      <c r="RLL220" s="67"/>
      <c r="RLM220" s="31"/>
      <c r="RLN220" s="19"/>
      <c r="RLO220" s="67"/>
      <c r="RLP220" s="67"/>
      <c r="RLQ220" s="31"/>
      <c r="RLR220" s="19"/>
      <c r="RLS220" s="67"/>
      <c r="RLT220" s="67"/>
      <c r="RLU220" s="31"/>
      <c r="RLV220" s="19"/>
      <c r="RLW220" s="67"/>
      <c r="RLX220" s="67"/>
      <c r="RLY220" s="31"/>
      <c r="RLZ220" s="19"/>
      <c r="RMA220" s="67"/>
      <c r="RMB220" s="67"/>
      <c r="RMC220" s="31"/>
      <c r="RMD220" s="19"/>
      <c r="RME220" s="67"/>
      <c r="RMF220" s="67"/>
      <c r="RMG220" s="31"/>
      <c r="RMH220" s="19"/>
      <c r="RMI220" s="67"/>
      <c r="RMJ220" s="67"/>
      <c r="RMK220" s="31"/>
      <c r="RML220" s="19"/>
      <c r="RMM220" s="67"/>
      <c r="RMN220" s="67"/>
      <c r="RMO220" s="31"/>
      <c r="RMP220" s="19"/>
      <c r="RMQ220" s="67"/>
      <c r="RMR220" s="67"/>
      <c r="RMS220" s="31"/>
      <c r="RMT220" s="19"/>
      <c r="RMU220" s="67"/>
      <c r="RMV220" s="67"/>
      <c r="RMW220" s="31"/>
      <c r="RMX220" s="19"/>
      <c r="RMY220" s="67"/>
      <c r="RMZ220" s="67"/>
      <c r="RNA220" s="31"/>
      <c r="RNB220" s="19"/>
      <c r="RNC220" s="67"/>
      <c r="RND220" s="67"/>
      <c r="RNE220" s="31"/>
      <c r="RNF220" s="19"/>
      <c r="RNG220" s="67"/>
      <c r="RNH220" s="67"/>
      <c r="RNI220" s="31"/>
      <c r="RNJ220" s="19"/>
      <c r="RNK220" s="67"/>
      <c r="RNL220" s="67"/>
      <c r="RNM220" s="31"/>
      <c r="RNN220" s="19"/>
      <c r="RNO220" s="67"/>
      <c r="RNP220" s="67"/>
      <c r="RNQ220" s="31"/>
      <c r="RNR220" s="19"/>
      <c r="RNS220" s="67"/>
      <c r="RNT220" s="67"/>
      <c r="RNU220" s="31"/>
      <c r="RNV220" s="19"/>
      <c r="RNW220" s="67"/>
      <c r="RNX220" s="67"/>
      <c r="RNY220" s="31"/>
      <c r="RNZ220" s="19"/>
      <c r="ROA220" s="67"/>
      <c r="ROB220" s="67"/>
      <c r="ROC220" s="31"/>
      <c r="ROD220" s="19"/>
      <c r="ROE220" s="67"/>
      <c r="ROF220" s="67"/>
      <c r="ROG220" s="31"/>
      <c r="ROH220" s="19"/>
      <c r="ROI220" s="67"/>
      <c r="ROJ220" s="67"/>
      <c r="ROK220" s="31"/>
      <c r="ROL220" s="19"/>
      <c r="ROM220" s="67"/>
      <c r="RON220" s="67"/>
      <c r="ROO220" s="31"/>
      <c r="ROP220" s="19"/>
      <c r="ROQ220" s="67"/>
      <c r="ROR220" s="67"/>
      <c r="ROS220" s="31"/>
      <c r="ROT220" s="19"/>
      <c r="ROU220" s="67"/>
      <c r="ROV220" s="67"/>
      <c r="ROW220" s="31"/>
      <c r="ROX220" s="19"/>
      <c r="ROY220" s="67"/>
      <c r="ROZ220" s="67"/>
      <c r="RPA220" s="31"/>
      <c r="RPB220" s="19"/>
      <c r="RPC220" s="67"/>
      <c r="RPD220" s="67"/>
      <c r="RPE220" s="31"/>
      <c r="RPF220" s="19"/>
      <c r="RPG220" s="67"/>
      <c r="RPH220" s="67"/>
      <c r="RPI220" s="31"/>
      <c r="RPJ220" s="19"/>
      <c r="RPK220" s="67"/>
      <c r="RPL220" s="67"/>
      <c r="RPM220" s="31"/>
      <c r="RPN220" s="19"/>
      <c r="RPO220" s="67"/>
      <c r="RPP220" s="67"/>
      <c r="RPQ220" s="31"/>
      <c r="RPR220" s="19"/>
      <c r="RPS220" s="67"/>
      <c r="RPT220" s="67"/>
      <c r="RPU220" s="31"/>
      <c r="RPV220" s="19"/>
      <c r="RPW220" s="67"/>
      <c r="RPX220" s="67"/>
      <c r="RPY220" s="31"/>
      <c r="RPZ220" s="19"/>
      <c r="RQA220" s="67"/>
      <c r="RQB220" s="67"/>
      <c r="RQC220" s="31"/>
      <c r="RQD220" s="19"/>
      <c r="RQE220" s="67"/>
      <c r="RQF220" s="67"/>
      <c r="RQG220" s="31"/>
      <c r="RQH220" s="19"/>
      <c r="RQI220" s="67"/>
      <c r="RQJ220" s="67"/>
      <c r="RQK220" s="31"/>
      <c r="RQL220" s="19"/>
      <c r="RQM220" s="67"/>
      <c r="RQN220" s="67"/>
      <c r="RQO220" s="31"/>
      <c r="RQP220" s="19"/>
      <c r="RQQ220" s="67"/>
      <c r="RQR220" s="67"/>
      <c r="RQS220" s="31"/>
      <c r="RQT220" s="19"/>
      <c r="RQU220" s="67"/>
      <c r="RQV220" s="67"/>
      <c r="RQW220" s="31"/>
      <c r="RQX220" s="19"/>
      <c r="RQY220" s="67"/>
      <c r="RQZ220" s="67"/>
      <c r="RRA220" s="31"/>
      <c r="RRB220" s="19"/>
      <c r="RRC220" s="67"/>
      <c r="RRD220" s="67"/>
      <c r="RRE220" s="31"/>
      <c r="RRF220" s="19"/>
      <c r="RRG220" s="67"/>
      <c r="RRH220" s="67"/>
      <c r="RRI220" s="31"/>
      <c r="RRJ220" s="19"/>
      <c r="RRK220" s="67"/>
      <c r="RRL220" s="67"/>
      <c r="RRM220" s="31"/>
      <c r="RRN220" s="19"/>
      <c r="RRO220" s="67"/>
      <c r="RRP220" s="67"/>
      <c r="RRQ220" s="31"/>
      <c r="RRR220" s="19"/>
      <c r="RRS220" s="67"/>
      <c r="RRT220" s="67"/>
      <c r="RRU220" s="31"/>
      <c r="RRV220" s="19"/>
      <c r="RRW220" s="67"/>
      <c r="RRX220" s="67"/>
      <c r="RRY220" s="31"/>
      <c r="RRZ220" s="19"/>
      <c r="RSA220" s="67"/>
      <c r="RSB220" s="67"/>
      <c r="RSC220" s="31"/>
      <c r="RSD220" s="19"/>
      <c r="RSE220" s="67"/>
      <c r="RSF220" s="67"/>
      <c r="RSG220" s="31"/>
      <c r="RSH220" s="19"/>
      <c r="RSI220" s="67"/>
      <c r="RSJ220" s="67"/>
      <c r="RSK220" s="31"/>
      <c r="RSL220" s="19"/>
      <c r="RSM220" s="67"/>
      <c r="RSN220" s="67"/>
      <c r="RSO220" s="31"/>
      <c r="RSP220" s="19"/>
      <c r="RSQ220" s="67"/>
      <c r="RSR220" s="67"/>
      <c r="RSS220" s="31"/>
      <c r="RST220" s="19"/>
      <c r="RSU220" s="67"/>
      <c r="RSV220" s="67"/>
      <c r="RSW220" s="31"/>
      <c r="RSX220" s="19"/>
      <c r="RSY220" s="67"/>
      <c r="RSZ220" s="67"/>
      <c r="RTA220" s="31"/>
      <c r="RTB220" s="19"/>
      <c r="RTC220" s="67"/>
      <c r="RTD220" s="67"/>
      <c r="RTE220" s="31"/>
      <c r="RTF220" s="19"/>
      <c r="RTG220" s="67"/>
      <c r="RTH220" s="67"/>
      <c r="RTI220" s="31"/>
      <c r="RTJ220" s="19"/>
      <c r="RTK220" s="67"/>
      <c r="RTL220" s="67"/>
      <c r="RTM220" s="31"/>
      <c r="RTN220" s="19"/>
      <c r="RTO220" s="67"/>
      <c r="RTP220" s="67"/>
      <c r="RTQ220" s="31"/>
      <c r="RTR220" s="19"/>
      <c r="RTS220" s="67"/>
      <c r="RTT220" s="67"/>
      <c r="RTU220" s="31"/>
      <c r="RTV220" s="19"/>
      <c r="RTW220" s="67"/>
      <c r="RTX220" s="67"/>
      <c r="RTY220" s="31"/>
      <c r="RTZ220" s="19"/>
      <c r="RUA220" s="67"/>
      <c r="RUB220" s="67"/>
      <c r="RUC220" s="31"/>
      <c r="RUD220" s="19"/>
      <c r="RUE220" s="67"/>
      <c r="RUF220" s="67"/>
      <c r="RUG220" s="31"/>
      <c r="RUH220" s="19"/>
      <c r="RUI220" s="67"/>
      <c r="RUJ220" s="67"/>
      <c r="RUK220" s="31"/>
      <c r="RUL220" s="19"/>
      <c r="RUM220" s="67"/>
      <c r="RUN220" s="67"/>
      <c r="RUO220" s="31"/>
      <c r="RUP220" s="19"/>
      <c r="RUQ220" s="67"/>
      <c r="RUR220" s="67"/>
      <c r="RUS220" s="31"/>
      <c r="RUT220" s="19"/>
      <c r="RUU220" s="67"/>
      <c r="RUV220" s="67"/>
      <c r="RUW220" s="31"/>
      <c r="RUX220" s="19"/>
      <c r="RUY220" s="67"/>
      <c r="RUZ220" s="67"/>
      <c r="RVA220" s="31"/>
      <c r="RVB220" s="19"/>
      <c r="RVC220" s="67"/>
      <c r="RVD220" s="67"/>
      <c r="RVE220" s="31"/>
      <c r="RVF220" s="19"/>
      <c r="RVG220" s="67"/>
      <c r="RVH220" s="67"/>
      <c r="RVI220" s="31"/>
      <c r="RVJ220" s="19"/>
      <c r="RVK220" s="67"/>
      <c r="RVL220" s="67"/>
      <c r="RVM220" s="31"/>
      <c r="RVN220" s="19"/>
      <c r="RVO220" s="67"/>
      <c r="RVP220" s="67"/>
      <c r="RVQ220" s="31"/>
      <c r="RVR220" s="19"/>
      <c r="RVS220" s="67"/>
      <c r="RVT220" s="67"/>
      <c r="RVU220" s="31"/>
      <c r="RVV220" s="19"/>
      <c r="RVW220" s="67"/>
      <c r="RVX220" s="67"/>
      <c r="RVY220" s="31"/>
      <c r="RVZ220" s="19"/>
      <c r="RWA220" s="67"/>
      <c r="RWB220" s="67"/>
      <c r="RWC220" s="31"/>
      <c r="RWD220" s="19"/>
      <c r="RWE220" s="67"/>
      <c r="RWF220" s="67"/>
      <c r="RWG220" s="31"/>
      <c r="RWH220" s="19"/>
      <c r="RWI220" s="67"/>
      <c r="RWJ220" s="67"/>
      <c r="RWK220" s="31"/>
      <c r="RWL220" s="19"/>
      <c r="RWM220" s="67"/>
      <c r="RWN220" s="67"/>
      <c r="RWO220" s="31"/>
      <c r="RWP220" s="19"/>
      <c r="RWQ220" s="67"/>
      <c r="RWR220" s="67"/>
      <c r="RWS220" s="31"/>
      <c r="RWT220" s="19"/>
      <c r="RWU220" s="67"/>
      <c r="RWV220" s="67"/>
      <c r="RWW220" s="31"/>
      <c r="RWX220" s="19"/>
      <c r="RWY220" s="67"/>
      <c r="RWZ220" s="67"/>
      <c r="RXA220" s="31"/>
      <c r="RXB220" s="19"/>
      <c r="RXC220" s="67"/>
      <c r="RXD220" s="67"/>
      <c r="RXE220" s="31"/>
      <c r="RXF220" s="19"/>
      <c r="RXG220" s="67"/>
      <c r="RXH220" s="67"/>
      <c r="RXI220" s="31"/>
      <c r="RXJ220" s="19"/>
      <c r="RXK220" s="67"/>
      <c r="RXL220" s="67"/>
      <c r="RXM220" s="31"/>
      <c r="RXN220" s="19"/>
      <c r="RXO220" s="67"/>
      <c r="RXP220" s="67"/>
      <c r="RXQ220" s="31"/>
      <c r="RXR220" s="19"/>
      <c r="RXS220" s="67"/>
      <c r="RXT220" s="67"/>
      <c r="RXU220" s="31"/>
      <c r="RXV220" s="19"/>
      <c r="RXW220" s="67"/>
      <c r="RXX220" s="67"/>
      <c r="RXY220" s="31"/>
      <c r="RXZ220" s="19"/>
      <c r="RYA220" s="67"/>
      <c r="RYB220" s="67"/>
      <c r="RYC220" s="31"/>
      <c r="RYD220" s="19"/>
      <c r="RYE220" s="67"/>
      <c r="RYF220" s="67"/>
      <c r="RYG220" s="31"/>
      <c r="RYH220" s="19"/>
      <c r="RYI220" s="67"/>
      <c r="RYJ220" s="67"/>
      <c r="RYK220" s="31"/>
      <c r="RYL220" s="19"/>
      <c r="RYM220" s="67"/>
      <c r="RYN220" s="67"/>
      <c r="RYO220" s="31"/>
      <c r="RYP220" s="19"/>
      <c r="RYQ220" s="67"/>
      <c r="RYR220" s="67"/>
      <c r="RYS220" s="31"/>
      <c r="RYT220" s="19"/>
      <c r="RYU220" s="67"/>
      <c r="RYV220" s="67"/>
      <c r="RYW220" s="31"/>
      <c r="RYX220" s="19"/>
      <c r="RYY220" s="67"/>
      <c r="RYZ220" s="67"/>
      <c r="RZA220" s="31"/>
      <c r="RZB220" s="19"/>
      <c r="RZC220" s="67"/>
      <c r="RZD220" s="67"/>
      <c r="RZE220" s="31"/>
      <c r="RZF220" s="19"/>
      <c r="RZG220" s="67"/>
      <c r="RZH220" s="67"/>
      <c r="RZI220" s="31"/>
      <c r="RZJ220" s="19"/>
      <c r="RZK220" s="67"/>
      <c r="RZL220" s="67"/>
      <c r="RZM220" s="31"/>
      <c r="RZN220" s="19"/>
      <c r="RZO220" s="67"/>
      <c r="RZP220" s="67"/>
      <c r="RZQ220" s="31"/>
      <c r="RZR220" s="19"/>
      <c r="RZS220" s="67"/>
      <c r="RZT220" s="67"/>
      <c r="RZU220" s="31"/>
      <c r="RZV220" s="19"/>
      <c r="RZW220" s="67"/>
      <c r="RZX220" s="67"/>
      <c r="RZY220" s="31"/>
      <c r="RZZ220" s="19"/>
      <c r="SAA220" s="67"/>
      <c r="SAB220" s="67"/>
      <c r="SAC220" s="31"/>
      <c r="SAD220" s="19"/>
      <c r="SAE220" s="67"/>
      <c r="SAF220" s="67"/>
      <c r="SAG220" s="31"/>
      <c r="SAH220" s="19"/>
      <c r="SAI220" s="67"/>
      <c r="SAJ220" s="67"/>
      <c r="SAK220" s="31"/>
      <c r="SAL220" s="19"/>
      <c r="SAM220" s="67"/>
      <c r="SAN220" s="67"/>
      <c r="SAO220" s="31"/>
      <c r="SAP220" s="19"/>
      <c r="SAQ220" s="67"/>
      <c r="SAR220" s="67"/>
      <c r="SAS220" s="31"/>
      <c r="SAT220" s="19"/>
      <c r="SAU220" s="67"/>
      <c r="SAV220" s="67"/>
      <c r="SAW220" s="31"/>
      <c r="SAX220" s="19"/>
      <c r="SAY220" s="67"/>
      <c r="SAZ220" s="67"/>
      <c r="SBA220" s="31"/>
      <c r="SBB220" s="19"/>
      <c r="SBC220" s="67"/>
      <c r="SBD220" s="67"/>
      <c r="SBE220" s="31"/>
      <c r="SBF220" s="19"/>
      <c r="SBG220" s="67"/>
      <c r="SBH220" s="67"/>
      <c r="SBI220" s="31"/>
      <c r="SBJ220" s="19"/>
      <c r="SBK220" s="67"/>
      <c r="SBL220" s="67"/>
      <c r="SBM220" s="31"/>
      <c r="SBN220" s="19"/>
      <c r="SBO220" s="67"/>
      <c r="SBP220" s="67"/>
      <c r="SBQ220" s="31"/>
      <c r="SBR220" s="19"/>
      <c r="SBS220" s="67"/>
      <c r="SBT220" s="67"/>
      <c r="SBU220" s="31"/>
      <c r="SBV220" s="19"/>
      <c r="SBW220" s="67"/>
      <c r="SBX220" s="67"/>
      <c r="SBY220" s="31"/>
      <c r="SBZ220" s="19"/>
      <c r="SCA220" s="67"/>
      <c r="SCB220" s="67"/>
      <c r="SCC220" s="31"/>
      <c r="SCD220" s="19"/>
      <c r="SCE220" s="67"/>
      <c r="SCF220" s="67"/>
      <c r="SCG220" s="31"/>
      <c r="SCH220" s="19"/>
      <c r="SCI220" s="67"/>
      <c r="SCJ220" s="67"/>
      <c r="SCK220" s="31"/>
      <c r="SCL220" s="19"/>
      <c r="SCM220" s="67"/>
      <c r="SCN220" s="67"/>
      <c r="SCO220" s="31"/>
      <c r="SCP220" s="19"/>
      <c r="SCQ220" s="67"/>
      <c r="SCR220" s="67"/>
      <c r="SCS220" s="31"/>
      <c r="SCT220" s="19"/>
      <c r="SCU220" s="67"/>
      <c r="SCV220" s="67"/>
      <c r="SCW220" s="31"/>
      <c r="SCX220" s="19"/>
      <c r="SCY220" s="67"/>
      <c r="SCZ220" s="67"/>
      <c r="SDA220" s="31"/>
      <c r="SDB220" s="19"/>
      <c r="SDC220" s="67"/>
      <c r="SDD220" s="67"/>
      <c r="SDE220" s="31"/>
      <c r="SDF220" s="19"/>
      <c r="SDG220" s="67"/>
      <c r="SDH220" s="67"/>
      <c r="SDI220" s="31"/>
      <c r="SDJ220" s="19"/>
      <c r="SDK220" s="67"/>
      <c r="SDL220" s="67"/>
      <c r="SDM220" s="31"/>
      <c r="SDN220" s="19"/>
      <c r="SDO220" s="67"/>
      <c r="SDP220" s="67"/>
      <c r="SDQ220" s="31"/>
      <c r="SDR220" s="19"/>
      <c r="SDS220" s="67"/>
      <c r="SDT220" s="67"/>
      <c r="SDU220" s="31"/>
      <c r="SDV220" s="19"/>
      <c r="SDW220" s="67"/>
      <c r="SDX220" s="67"/>
      <c r="SDY220" s="31"/>
      <c r="SDZ220" s="19"/>
      <c r="SEA220" s="67"/>
      <c r="SEB220" s="67"/>
      <c r="SEC220" s="31"/>
      <c r="SED220" s="19"/>
      <c r="SEE220" s="67"/>
      <c r="SEF220" s="67"/>
      <c r="SEG220" s="31"/>
      <c r="SEH220" s="19"/>
      <c r="SEI220" s="67"/>
      <c r="SEJ220" s="67"/>
      <c r="SEK220" s="31"/>
      <c r="SEL220" s="19"/>
      <c r="SEM220" s="67"/>
      <c r="SEN220" s="67"/>
      <c r="SEO220" s="31"/>
      <c r="SEP220" s="19"/>
      <c r="SEQ220" s="67"/>
      <c r="SER220" s="67"/>
      <c r="SES220" s="31"/>
      <c r="SET220" s="19"/>
      <c r="SEU220" s="67"/>
      <c r="SEV220" s="67"/>
      <c r="SEW220" s="31"/>
      <c r="SEX220" s="19"/>
      <c r="SEY220" s="67"/>
      <c r="SEZ220" s="67"/>
      <c r="SFA220" s="31"/>
      <c r="SFB220" s="19"/>
      <c r="SFC220" s="67"/>
      <c r="SFD220" s="67"/>
      <c r="SFE220" s="31"/>
      <c r="SFF220" s="19"/>
      <c r="SFG220" s="67"/>
      <c r="SFH220" s="67"/>
      <c r="SFI220" s="31"/>
      <c r="SFJ220" s="19"/>
      <c r="SFK220" s="67"/>
      <c r="SFL220" s="67"/>
      <c r="SFM220" s="31"/>
      <c r="SFN220" s="19"/>
      <c r="SFO220" s="67"/>
      <c r="SFP220" s="67"/>
      <c r="SFQ220" s="31"/>
      <c r="SFR220" s="19"/>
      <c r="SFS220" s="67"/>
      <c r="SFT220" s="67"/>
      <c r="SFU220" s="31"/>
      <c r="SFV220" s="19"/>
      <c r="SFW220" s="67"/>
      <c r="SFX220" s="67"/>
      <c r="SFY220" s="31"/>
      <c r="SFZ220" s="19"/>
      <c r="SGA220" s="67"/>
      <c r="SGB220" s="67"/>
      <c r="SGC220" s="31"/>
      <c r="SGD220" s="19"/>
      <c r="SGE220" s="67"/>
      <c r="SGF220" s="67"/>
      <c r="SGG220" s="31"/>
      <c r="SGH220" s="19"/>
      <c r="SGI220" s="67"/>
      <c r="SGJ220" s="67"/>
      <c r="SGK220" s="31"/>
      <c r="SGL220" s="19"/>
      <c r="SGM220" s="67"/>
      <c r="SGN220" s="67"/>
      <c r="SGO220" s="31"/>
      <c r="SGP220" s="19"/>
      <c r="SGQ220" s="67"/>
      <c r="SGR220" s="67"/>
      <c r="SGS220" s="31"/>
      <c r="SGT220" s="19"/>
      <c r="SGU220" s="67"/>
      <c r="SGV220" s="67"/>
      <c r="SGW220" s="31"/>
      <c r="SGX220" s="19"/>
      <c r="SGY220" s="67"/>
      <c r="SGZ220" s="67"/>
      <c r="SHA220" s="31"/>
      <c r="SHB220" s="19"/>
      <c r="SHC220" s="67"/>
      <c r="SHD220" s="67"/>
      <c r="SHE220" s="31"/>
      <c r="SHF220" s="19"/>
      <c r="SHG220" s="67"/>
      <c r="SHH220" s="67"/>
      <c r="SHI220" s="31"/>
      <c r="SHJ220" s="19"/>
      <c r="SHK220" s="67"/>
      <c r="SHL220" s="67"/>
      <c r="SHM220" s="31"/>
      <c r="SHN220" s="19"/>
      <c r="SHO220" s="67"/>
      <c r="SHP220" s="67"/>
      <c r="SHQ220" s="31"/>
      <c r="SHR220" s="19"/>
      <c r="SHS220" s="67"/>
      <c r="SHT220" s="67"/>
      <c r="SHU220" s="31"/>
      <c r="SHV220" s="19"/>
      <c r="SHW220" s="67"/>
      <c r="SHX220" s="67"/>
      <c r="SHY220" s="31"/>
      <c r="SHZ220" s="19"/>
      <c r="SIA220" s="67"/>
      <c r="SIB220" s="67"/>
      <c r="SIC220" s="31"/>
      <c r="SID220" s="19"/>
      <c r="SIE220" s="67"/>
      <c r="SIF220" s="67"/>
      <c r="SIG220" s="31"/>
      <c r="SIH220" s="19"/>
      <c r="SII220" s="67"/>
      <c r="SIJ220" s="67"/>
      <c r="SIK220" s="31"/>
      <c r="SIL220" s="19"/>
      <c r="SIM220" s="67"/>
      <c r="SIN220" s="67"/>
      <c r="SIO220" s="31"/>
      <c r="SIP220" s="19"/>
      <c r="SIQ220" s="67"/>
      <c r="SIR220" s="67"/>
      <c r="SIS220" s="31"/>
      <c r="SIT220" s="19"/>
      <c r="SIU220" s="67"/>
      <c r="SIV220" s="67"/>
      <c r="SIW220" s="31"/>
      <c r="SIX220" s="19"/>
      <c r="SIY220" s="67"/>
      <c r="SIZ220" s="67"/>
      <c r="SJA220" s="31"/>
      <c r="SJB220" s="19"/>
      <c r="SJC220" s="67"/>
      <c r="SJD220" s="67"/>
      <c r="SJE220" s="31"/>
      <c r="SJF220" s="19"/>
      <c r="SJG220" s="67"/>
      <c r="SJH220" s="67"/>
      <c r="SJI220" s="31"/>
      <c r="SJJ220" s="19"/>
      <c r="SJK220" s="67"/>
      <c r="SJL220" s="67"/>
      <c r="SJM220" s="31"/>
      <c r="SJN220" s="19"/>
      <c r="SJO220" s="67"/>
      <c r="SJP220" s="67"/>
      <c r="SJQ220" s="31"/>
      <c r="SJR220" s="19"/>
      <c r="SJS220" s="67"/>
      <c r="SJT220" s="67"/>
      <c r="SJU220" s="31"/>
      <c r="SJV220" s="19"/>
      <c r="SJW220" s="67"/>
      <c r="SJX220" s="67"/>
      <c r="SJY220" s="31"/>
      <c r="SJZ220" s="19"/>
      <c r="SKA220" s="67"/>
      <c r="SKB220" s="67"/>
      <c r="SKC220" s="31"/>
      <c r="SKD220" s="19"/>
      <c r="SKE220" s="67"/>
      <c r="SKF220" s="67"/>
      <c r="SKG220" s="31"/>
      <c r="SKH220" s="19"/>
      <c r="SKI220" s="67"/>
      <c r="SKJ220" s="67"/>
      <c r="SKK220" s="31"/>
      <c r="SKL220" s="19"/>
      <c r="SKM220" s="67"/>
      <c r="SKN220" s="67"/>
      <c r="SKO220" s="31"/>
      <c r="SKP220" s="19"/>
      <c r="SKQ220" s="67"/>
      <c r="SKR220" s="67"/>
      <c r="SKS220" s="31"/>
      <c r="SKT220" s="19"/>
      <c r="SKU220" s="67"/>
      <c r="SKV220" s="67"/>
      <c r="SKW220" s="31"/>
      <c r="SKX220" s="19"/>
      <c r="SKY220" s="67"/>
      <c r="SKZ220" s="67"/>
      <c r="SLA220" s="31"/>
      <c r="SLB220" s="19"/>
      <c r="SLC220" s="67"/>
      <c r="SLD220" s="67"/>
      <c r="SLE220" s="31"/>
      <c r="SLF220" s="19"/>
      <c r="SLG220" s="67"/>
      <c r="SLH220" s="67"/>
      <c r="SLI220" s="31"/>
      <c r="SLJ220" s="19"/>
      <c r="SLK220" s="67"/>
      <c r="SLL220" s="67"/>
      <c r="SLM220" s="31"/>
      <c r="SLN220" s="19"/>
      <c r="SLO220" s="67"/>
      <c r="SLP220" s="67"/>
      <c r="SLQ220" s="31"/>
      <c r="SLR220" s="19"/>
      <c r="SLS220" s="67"/>
      <c r="SLT220" s="67"/>
      <c r="SLU220" s="31"/>
      <c r="SLV220" s="19"/>
      <c r="SLW220" s="67"/>
      <c r="SLX220" s="67"/>
      <c r="SLY220" s="31"/>
      <c r="SLZ220" s="19"/>
      <c r="SMA220" s="67"/>
      <c r="SMB220" s="67"/>
      <c r="SMC220" s="31"/>
      <c r="SMD220" s="19"/>
      <c r="SME220" s="67"/>
      <c r="SMF220" s="67"/>
      <c r="SMG220" s="31"/>
      <c r="SMH220" s="19"/>
      <c r="SMI220" s="67"/>
      <c r="SMJ220" s="67"/>
      <c r="SMK220" s="31"/>
      <c r="SML220" s="19"/>
      <c r="SMM220" s="67"/>
      <c r="SMN220" s="67"/>
      <c r="SMO220" s="31"/>
      <c r="SMP220" s="19"/>
      <c r="SMQ220" s="67"/>
      <c r="SMR220" s="67"/>
      <c r="SMS220" s="31"/>
      <c r="SMT220" s="19"/>
      <c r="SMU220" s="67"/>
      <c r="SMV220" s="67"/>
      <c r="SMW220" s="31"/>
      <c r="SMX220" s="19"/>
      <c r="SMY220" s="67"/>
      <c r="SMZ220" s="67"/>
      <c r="SNA220" s="31"/>
      <c r="SNB220" s="19"/>
      <c r="SNC220" s="67"/>
      <c r="SND220" s="67"/>
      <c r="SNE220" s="31"/>
      <c r="SNF220" s="19"/>
      <c r="SNG220" s="67"/>
      <c r="SNH220" s="67"/>
      <c r="SNI220" s="31"/>
      <c r="SNJ220" s="19"/>
      <c r="SNK220" s="67"/>
      <c r="SNL220" s="67"/>
      <c r="SNM220" s="31"/>
      <c r="SNN220" s="19"/>
      <c r="SNO220" s="67"/>
      <c r="SNP220" s="67"/>
      <c r="SNQ220" s="31"/>
      <c r="SNR220" s="19"/>
      <c r="SNS220" s="67"/>
      <c r="SNT220" s="67"/>
      <c r="SNU220" s="31"/>
      <c r="SNV220" s="19"/>
      <c r="SNW220" s="67"/>
      <c r="SNX220" s="67"/>
      <c r="SNY220" s="31"/>
      <c r="SNZ220" s="19"/>
      <c r="SOA220" s="67"/>
      <c r="SOB220" s="67"/>
      <c r="SOC220" s="31"/>
      <c r="SOD220" s="19"/>
      <c r="SOE220" s="67"/>
      <c r="SOF220" s="67"/>
      <c r="SOG220" s="31"/>
      <c r="SOH220" s="19"/>
      <c r="SOI220" s="67"/>
      <c r="SOJ220" s="67"/>
      <c r="SOK220" s="31"/>
      <c r="SOL220" s="19"/>
      <c r="SOM220" s="67"/>
      <c r="SON220" s="67"/>
      <c r="SOO220" s="31"/>
      <c r="SOP220" s="19"/>
      <c r="SOQ220" s="67"/>
      <c r="SOR220" s="67"/>
      <c r="SOS220" s="31"/>
      <c r="SOT220" s="19"/>
      <c r="SOU220" s="67"/>
      <c r="SOV220" s="67"/>
      <c r="SOW220" s="31"/>
      <c r="SOX220" s="19"/>
      <c r="SOY220" s="67"/>
      <c r="SOZ220" s="67"/>
      <c r="SPA220" s="31"/>
      <c r="SPB220" s="19"/>
      <c r="SPC220" s="67"/>
      <c r="SPD220" s="67"/>
      <c r="SPE220" s="31"/>
      <c r="SPF220" s="19"/>
      <c r="SPG220" s="67"/>
      <c r="SPH220" s="67"/>
      <c r="SPI220" s="31"/>
      <c r="SPJ220" s="19"/>
      <c r="SPK220" s="67"/>
      <c r="SPL220" s="67"/>
      <c r="SPM220" s="31"/>
      <c r="SPN220" s="19"/>
      <c r="SPO220" s="67"/>
      <c r="SPP220" s="67"/>
      <c r="SPQ220" s="31"/>
      <c r="SPR220" s="19"/>
      <c r="SPS220" s="67"/>
      <c r="SPT220" s="67"/>
      <c r="SPU220" s="31"/>
      <c r="SPV220" s="19"/>
      <c r="SPW220" s="67"/>
      <c r="SPX220" s="67"/>
      <c r="SPY220" s="31"/>
      <c r="SPZ220" s="19"/>
      <c r="SQA220" s="67"/>
      <c r="SQB220" s="67"/>
      <c r="SQC220" s="31"/>
      <c r="SQD220" s="19"/>
      <c r="SQE220" s="67"/>
      <c r="SQF220" s="67"/>
      <c r="SQG220" s="31"/>
      <c r="SQH220" s="19"/>
      <c r="SQI220" s="67"/>
      <c r="SQJ220" s="67"/>
      <c r="SQK220" s="31"/>
      <c r="SQL220" s="19"/>
      <c r="SQM220" s="67"/>
      <c r="SQN220" s="67"/>
      <c r="SQO220" s="31"/>
      <c r="SQP220" s="19"/>
      <c r="SQQ220" s="67"/>
      <c r="SQR220" s="67"/>
      <c r="SQS220" s="31"/>
      <c r="SQT220" s="19"/>
      <c r="SQU220" s="67"/>
      <c r="SQV220" s="67"/>
      <c r="SQW220" s="31"/>
      <c r="SQX220" s="19"/>
      <c r="SQY220" s="67"/>
      <c r="SQZ220" s="67"/>
      <c r="SRA220" s="31"/>
      <c r="SRB220" s="19"/>
      <c r="SRC220" s="67"/>
      <c r="SRD220" s="67"/>
      <c r="SRE220" s="31"/>
      <c r="SRF220" s="19"/>
      <c r="SRG220" s="67"/>
      <c r="SRH220" s="67"/>
      <c r="SRI220" s="31"/>
      <c r="SRJ220" s="19"/>
      <c r="SRK220" s="67"/>
      <c r="SRL220" s="67"/>
      <c r="SRM220" s="31"/>
      <c r="SRN220" s="19"/>
      <c r="SRO220" s="67"/>
      <c r="SRP220" s="67"/>
      <c r="SRQ220" s="31"/>
      <c r="SRR220" s="19"/>
      <c r="SRS220" s="67"/>
      <c r="SRT220" s="67"/>
      <c r="SRU220" s="31"/>
      <c r="SRV220" s="19"/>
      <c r="SRW220" s="67"/>
      <c r="SRX220" s="67"/>
      <c r="SRY220" s="31"/>
      <c r="SRZ220" s="19"/>
      <c r="SSA220" s="67"/>
      <c r="SSB220" s="67"/>
      <c r="SSC220" s="31"/>
      <c r="SSD220" s="19"/>
      <c r="SSE220" s="67"/>
      <c r="SSF220" s="67"/>
      <c r="SSG220" s="31"/>
      <c r="SSH220" s="19"/>
      <c r="SSI220" s="67"/>
      <c r="SSJ220" s="67"/>
      <c r="SSK220" s="31"/>
      <c r="SSL220" s="19"/>
      <c r="SSM220" s="67"/>
      <c r="SSN220" s="67"/>
      <c r="SSO220" s="31"/>
      <c r="SSP220" s="19"/>
      <c r="SSQ220" s="67"/>
      <c r="SSR220" s="67"/>
      <c r="SSS220" s="31"/>
      <c r="SST220" s="19"/>
      <c r="SSU220" s="67"/>
      <c r="SSV220" s="67"/>
      <c r="SSW220" s="31"/>
      <c r="SSX220" s="19"/>
      <c r="SSY220" s="67"/>
      <c r="SSZ220" s="67"/>
      <c r="STA220" s="31"/>
      <c r="STB220" s="19"/>
      <c r="STC220" s="67"/>
      <c r="STD220" s="67"/>
      <c r="STE220" s="31"/>
      <c r="STF220" s="19"/>
      <c r="STG220" s="67"/>
      <c r="STH220" s="67"/>
      <c r="STI220" s="31"/>
      <c r="STJ220" s="19"/>
      <c r="STK220" s="67"/>
      <c r="STL220" s="67"/>
      <c r="STM220" s="31"/>
      <c r="STN220" s="19"/>
      <c r="STO220" s="67"/>
      <c r="STP220" s="67"/>
      <c r="STQ220" s="31"/>
      <c r="STR220" s="19"/>
      <c r="STS220" s="67"/>
      <c r="STT220" s="67"/>
      <c r="STU220" s="31"/>
      <c r="STV220" s="19"/>
      <c r="STW220" s="67"/>
      <c r="STX220" s="67"/>
      <c r="STY220" s="31"/>
      <c r="STZ220" s="19"/>
      <c r="SUA220" s="67"/>
      <c r="SUB220" s="67"/>
      <c r="SUC220" s="31"/>
      <c r="SUD220" s="19"/>
      <c r="SUE220" s="67"/>
      <c r="SUF220" s="67"/>
      <c r="SUG220" s="31"/>
      <c r="SUH220" s="19"/>
      <c r="SUI220" s="67"/>
      <c r="SUJ220" s="67"/>
      <c r="SUK220" s="31"/>
      <c r="SUL220" s="19"/>
      <c r="SUM220" s="67"/>
      <c r="SUN220" s="67"/>
      <c r="SUO220" s="31"/>
      <c r="SUP220" s="19"/>
      <c r="SUQ220" s="67"/>
      <c r="SUR220" s="67"/>
      <c r="SUS220" s="31"/>
      <c r="SUT220" s="19"/>
      <c r="SUU220" s="67"/>
      <c r="SUV220" s="67"/>
      <c r="SUW220" s="31"/>
      <c r="SUX220" s="19"/>
      <c r="SUY220" s="67"/>
      <c r="SUZ220" s="67"/>
      <c r="SVA220" s="31"/>
      <c r="SVB220" s="19"/>
      <c r="SVC220" s="67"/>
      <c r="SVD220" s="67"/>
      <c r="SVE220" s="31"/>
      <c r="SVF220" s="19"/>
      <c r="SVG220" s="67"/>
      <c r="SVH220" s="67"/>
      <c r="SVI220" s="31"/>
      <c r="SVJ220" s="19"/>
      <c r="SVK220" s="67"/>
      <c r="SVL220" s="67"/>
      <c r="SVM220" s="31"/>
      <c r="SVN220" s="19"/>
      <c r="SVO220" s="67"/>
      <c r="SVP220" s="67"/>
      <c r="SVQ220" s="31"/>
      <c r="SVR220" s="19"/>
      <c r="SVS220" s="67"/>
      <c r="SVT220" s="67"/>
      <c r="SVU220" s="31"/>
      <c r="SVV220" s="19"/>
      <c r="SVW220" s="67"/>
      <c r="SVX220" s="67"/>
      <c r="SVY220" s="31"/>
      <c r="SVZ220" s="19"/>
      <c r="SWA220" s="67"/>
      <c r="SWB220" s="67"/>
      <c r="SWC220" s="31"/>
      <c r="SWD220" s="19"/>
      <c r="SWE220" s="67"/>
      <c r="SWF220" s="67"/>
      <c r="SWG220" s="31"/>
      <c r="SWH220" s="19"/>
      <c r="SWI220" s="67"/>
      <c r="SWJ220" s="67"/>
      <c r="SWK220" s="31"/>
      <c r="SWL220" s="19"/>
      <c r="SWM220" s="67"/>
      <c r="SWN220" s="67"/>
      <c r="SWO220" s="31"/>
      <c r="SWP220" s="19"/>
      <c r="SWQ220" s="67"/>
      <c r="SWR220" s="67"/>
      <c r="SWS220" s="31"/>
      <c r="SWT220" s="19"/>
      <c r="SWU220" s="67"/>
      <c r="SWV220" s="67"/>
      <c r="SWW220" s="31"/>
      <c r="SWX220" s="19"/>
      <c r="SWY220" s="67"/>
      <c r="SWZ220" s="67"/>
      <c r="SXA220" s="31"/>
      <c r="SXB220" s="19"/>
      <c r="SXC220" s="67"/>
      <c r="SXD220" s="67"/>
      <c r="SXE220" s="31"/>
      <c r="SXF220" s="19"/>
      <c r="SXG220" s="67"/>
      <c r="SXH220" s="67"/>
      <c r="SXI220" s="31"/>
      <c r="SXJ220" s="19"/>
      <c r="SXK220" s="67"/>
      <c r="SXL220" s="67"/>
      <c r="SXM220" s="31"/>
      <c r="SXN220" s="19"/>
      <c r="SXO220" s="67"/>
      <c r="SXP220" s="67"/>
      <c r="SXQ220" s="31"/>
      <c r="SXR220" s="19"/>
      <c r="SXS220" s="67"/>
      <c r="SXT220" s="67"/>
      <c r="SXU220" s="31"/>
      <c r="SXV220" s="19"/>
      <c r="SXW220" s="67"/>
      <c r="SXX220" s="67"/>
      <c r="SXY220" s="31"/>
      <c r="SXZ220" s="19"/>
      <c r="SYA220" s="67"/>
      <c r="SYB220" s="67"/>
      <c r="SYC220" s="31"/>
      <c r="SYD220" s="19"/>
      <c r="SYE220" s="67"/>
      <c r="SYF220" s="67"/>
      <c r="SYG220" s="31"/>
      <c r="SYH220" s="19"/>
      <c r="SYI220" s="67"/>
      <c r="SYJ220" s="67"/>
      <c r="SYK220" s="31"/>
      <c r="SYL220" s="19"/>
      <c r="SYM220" s="67"/>
      <c r="SYN220" s="67"/>
      <c r="SYO220" s="31"/>
      <c r="SYP220" s="19"/>
      <c r="SYQ220" s="67"/>
      <c r="SYR220" s="67"/>
      <c r="SYS220" s="31"/>
      <c r="SYT220" s="19"/>
      <c r="SYU220" s="67"/>
      <c r="SYV220" s="67"/>
      <c r="SYW220" s="31"/>
      <c r="SYX220" s="19"/>
      <c r="SYY220" s="67"/>
      <c r="SYZ220" s="67"/>
      <c r="SZA220" s="31"/>
      <c r="SZB220" s="19"/>
      <c r="SZC220" s="67"/>
      <c r="SZD220" s="67"/>
      <c r="SZE220" s="31"/>
      <c r="SZF220" s="19"/>
      <c r="SZG220" s="67"/>
      <c r="SZH220" s="67"/>
      <c r="SZI220" s="31"/>
      <c r="SZJ220" s="19"/>
      <c r="SZK220" s="67"/>
      <c r="SZL220" s="67"/>
      <c r="SZM220" s="31"/>
      <c r="SZN220" s="19"/>
      <c r="SZO220" s="67"/>
      <c r="SZP220" s="67"/>
      <c r="SZQ220" s="31"/>
      <c r="SZR220" s="19"/>
      <c r="SZS220" s="67"/>
      <c r="SZT220" s="67"/>
      <c r="SZU220" s="31"/>
      <c r="SZV220" s="19"/>
      <c r="SZW220" s="67"/>
      <c r="SZX220" s="67"/>
      <c r="SZY220" s="31"/>
      <c r="SZZ220" s="19"/>
      <c r="TAA220" s="67"/>
      <c r="TAB220" s="67"/>
      <c r="TAC220" s="31"/>
      <c r="TAD220" s="19"/>
      <c r="TAE220" s="67"/>
      <c r="TAF220" s="67"/>
      <c r="TAG220" s="31"/>
      <c r="TAH220" s="19"/>
      <c r="TAI220" s="67"/>
      <c r="TAJ220" s="67"/>
      <c r="TAK220" s="31"/>
      <c r="TAL220" s="19"/>
      <c r="TAM220" s="67"/>
      <c r="TAN220" s="67"/>
      <c r="TAO220" s="31"/>
      <c r="TAP220" s="19"/>
      <c r="TAQ220" s="67"/>
      <c r="TAR220" s="67"/>
      <c r="TAS220" s="31"/>
      <c r="TAT220" s="19"/>
      <c r="TAU220" s="67"/>
      <c r="TAV220" s="67"/>
      <c r="TAW220" s="31"/>
      <c r="TAX220" s="19"/>
      <c r="TAY220" s="67"/>
      <c r="TAZ220" s="67"/>
      <c r="TBA220" s="31"/>
      <c r="TBB220" s="19"/>
      <c r="TBC220" s="67"/>
      <c r="TBD220" s="67"/>
      <c r="TBE220" s="31"/>
      <c r="TBF220" s="19"/>
      <c r="TBG220" s="67"/>
      <c r="TBH220" s="67"/>
      <c r="TBI220" s="31"/>
      <c r="TBJ220" s="19"/>
      <c r="TBK220" s="67"/>
      <c r="TBL220" s="67"/>
      <c r="TBM220" s="31"/>
      <c r="TBN220" s="19"/>
      <c r="TBO220" s="67"/>
      <c r="TBP220" s="67"/>
      <c r="TBQ220" s="31"/>
      <c r="TBR220" s="19"/>
      <c r="TBS220" s="67"/>
      <c r="TBT220" s="67"/>
      <c r="TBU220" s="31"/>
      <c r="TBV220" s="19"/>
      <c r="TBW220" s="67"/>
      <c r="TBX220" s="67"/>
      <c r="TBY220" s="31"/>
      <c r="TBZ220" s="19"/>
      <c r="TCA220" s="67"/>
      <c r="TCB220" s="67"/>
      <c r="TCC220" s="31"/>
      <c r="TCD220" s="19"/>
      <c r="TCE220" s="67"/>
      <c r="TCF220" s="67"/>
      <c r="TCG220" s="31"/>
      <c r="TCH220" s="19"/>
      <c r="TCI220" s="67"/>
      <c r="TCJ220" s="67"/>
      <c r="TCK220" s="31"/>
      <c r="TCL220" s="19"/>
      <c r="TCM220" s="67"/>
      <c r="TCN220" s="67"/>
      <c r="TCO220" s="31"/>
      <c r="TCP220" s="19"/>
      <c r="TCQ220" s="67"/>
      <c r="TCR220" s="67"/>
      <c r="TCS220" s="31"/>
      <c r="TCT220" s="19"/>
      <c r="TCU220" s="67"/>
      <c r="TCV220" s="67"/>
      <c r="TCW220" s="31"/>
      <c r="TCX220" s="19"/>
      <c r="TCY220" s="67"/>
      <c r="TCZ220" s="67"/>
      <c r="TDA220" s="31"/>
      <c r="TDB220" s="19"/>
      <c r="TDC220" s="67"/>
      <c r="TDD220" s="67"/>
      <c r="TDE220" s="31"/>
      <c r="TDF220" s="19"/>
      <c r="TDG220" s="67"/>
      <c r="TDH220" s="67"/>
      <c r="TDI220" s="31"/>
      <c r="TDJ220" s="19"/>
      <c r="TDK220" s="67"/>
      <c r="TDL220" s="67"/>
      <c r="TDM220" s="31"/>
      <c r="TDN220" s="19"/>
      <c r="TDO220" s="67"/>
      <c r="TDP220" s="67"/>
      <c r="TDQ220" s="31"/>
      <c r="TDR220" s="19"/>
      <c r="TDS220" s="67"/>
      <c r="TDT220" s="67"/>
      <c r="TDU220" s="31"/>
      <c r="TDV220" s="19"/>
      <c r="TDW220" s="67"/>
      <c r="TDX220" s="67"/>
      <c r="TDY220" s="31"/>
      <c r="TDZ220" s="19"/>
      <c r="TEA220" s="67"/>
      <c r="TEB220" s="67"/>
      <c r="TEC220" s="31"/>
      <c r="TED220" s="19"/>
      <c r="TEE220" s="67"/>
      <c r="TEF220" s="67"/>
      <c r="TEG220" s="31"/>
      <c r="TEH220" s="19"/>
      <c r="TEI220" s="67"/>
      <c r="TEJ220" s="67"/>
      <c r="TEK220" s="31"/>
      <c r="TEL220" s="19"/>
      <c r="TEM220" s="67"/>
      <c r="TEN220" s="67"/>
      <c r="TEO220" s="31"/>
      <c r="TEP220" s="19"/>
      <c r="TEQ220" s="67"/>
      <c r="TER220" s="67"/>
      <c r="TES220" s="31"/>
      <c r="TET220" s="19"/>
      <c r="TEU220" s="67"/>
      <c r="TEV220" s="67"/>
      <c r="TEW220" s="31"/>
      <c r="TEX220" s="19"/>
      <c r="TEY220" s="67"/>
      <c r="TEZ220" s="67"/>
      <c r="TFA220" s="31"/>
      <c r="TFB220" s="19"/>
      <c r="TFC220" s="67"/>
      <c r="TFD220" s="67"/>
      <c r="TFE220" s="31"/>
      <c r="TFF220" s="19"/>
      <c r="TFG220" s="67"/>
      <c r="TFH220" s="67"/>
      <c r="TFI220" s="31"/>
      <c r="TFJ220" s="19"/>
      <c r="TFK220" s="67"/>
      <c r="TFL220" s="67"/>
      <c r="TFM220" s="31"/>
      <c r="TFN220" s="19"/>
      <c r="TFO220" s="67"/>
      <c r="TFP220" s="67"/>
      <c r="TFQ220" s="31"/>
      <c r="TFR220" s="19"/>
      <c r="TFS220" s="67"/>
      <c r="TFT220" s="67"/>
      <c r="TFU220" s="31"/>
      <c r="TFV220" s="19"/>
      <c r="TFW220" s="67"/>
      <c r="TFX220" s="67"/>
      <c r="TFY220" s="31"/>
      <c r="TFZ220" s="19"/>
      <c r="TGA220" s="67"/>
      <c r="TGB220" s="67"/>
      <c r="TGC220" s="31"/>
      <c r="TGD220" s="19"/>
      <c r="TGE220" s="67"/>
      <c r="TGF220" s="67"/>
      <c r="TGG220" s="31"/>
      <c r="TGH220" s="19"/>
      <c r="TGI220" s="67"/>
      <c r="TGJ220" s="67"/>
      <c r="TGK220" s="31"/>
      <c r="TGL220" s="19"/>
      <c r="TGM220" s="67"/>
      <c r="TGN220" s="67"/>
      <c r="TGO220" s="31"/>
      <c r="TGP220" s="19"/>
      <c r="TGQ220" s="67"/>
      <c r="TGR220" s="67"/>
      <c r="TGS220" s="31"/>
      <c r="TGT220" s="19"/>
      <c r="TGU220" s="67"/>
      <c r="TGV220" s="67"/>
      <c r="TGW220" s="31"/>
      <c r="TGX220" s="19"/>
      <c r="TGY220" s="67"/>
      <c r="TGZ220" s="67"/>
      <c r="THA220" s="31"/>
      <c r="THB220" s="19"/>
      <c r="THC220" s="67"/>
      <c r="THD220" s="67"/>
      <c r="THE220" s="31"/>
      <c r="THF220" s="19"/>
      <c r="THG220" s="67"/>
      <c r="THH220" s="67"/>
      <c r="THI220" s="31"/>
      <c r="THJ220" s="19"/>
      <c r="THK220" s="67"/>
      <c r="THL220" s="67"/>
      <c r="THM220" s="31"/>
      <c r="THN220" s="19"/>
      <c r="THO220" s="67"/>
      <c r="THP220" s="67"/>
      <c r="THQ220" s="31"/>
      <c r="THR220" s="19"/>
      <c r="THS220" s="67"/>
      <c r="THT220" s="67"/>
      <c r="THU220" s="31"/>
      <c r="THV220" s="19"/>
      <c r="THW220" s="67"/>
      <c r="THX220" s="67"/>
      <c r="THY220" s="31"/>
      <c r="THZ220" s="19"/>
      <c r="TIA220" s="67"/>
      <c r="TIB220" s="67"/>
      <c r="TIC220" s="31"/>
      <c r="TID220" s="19"/>
      <c r="TIE220" s="67"/>
      <c r="TIF220" s="67"/>
      <c r="TIG220" s="31"/>
      <c r="TIH220" s="19"/>
      <c r="TII220" s="67"/>
      <c r="TIJ220" s="67"/>
      <c r="TIK220" s="31"/>
      <c r="TIL220" s="19"/>
      <c r="TIM220" s="67"/>
      <c r="TIN220" s="67"/>
      <c r="TIO220" s="31"/>
      <c r="TIP220" s="19"/>
      <c r="TIQ220" s="67"/>
      <c r="TIR220" s="67"/>
      <c r="TIS220" s="31"/>
      <c r="TIT220" s="19"/>
      <c r="TIU220" s="67"/>
      <c r="TIV220" s="67"/>
      <c r="TIW220" s="31"/>
      <c r="TIX220" s="19"/>
      <c r="TIY220" s="67"/>
      <c r="TIZ220" s="67"/>
      <c r="TJA220" s="31"/>
      <c r="TJB220" s="19"/>
      <c r="TJC220" s="67"/>
      <c r="TJD220" s="67"/>
      <c r="TJE220" s="31"/>
      <c r="TJF220" s="19"/>
      <c r="TJG220" s="67"/>
      <c r="TJH220" s="67"/>
      <c r="TJI220" s="31"/>
      <c r="TJJ220" s="19"/>
      <c r="TJK220" s="67"/>
      <c r="TJL220" s="67"/>
      <c r="TJM220" s="31"/>
      <c r="TJN220" s="19"/>
      <c r="TJO220" s="67"/>
      <c r="TJP220" s="67"/>
      <c r="TJQ220" s="31"/>
      <c r="TJR220" s="19"/>
      <c r="TJS220" s="67"/>
      <c r="TJT220" s="67"/>
      <c r="TJU220" s="31"/>
      <c r="TJV220" s="19"/>
      <c r="TJW220" s="67"/>
      <c r="TJX220" s="67"/>
      <c r="TJY220" s="31"/>
      <c r="TJZ220" s="19"/>
      <c r="TKA220" s="67"/>
      <c r="TKB220" s="67"/>
      <c r="TKC220" s="31"/>
      <c r="TKD220" s="19"/>
      <c r="TKE220" s="67"/>
      <c r="TKF220" s="67"/>
      <c r="TKG220" s="31"/>
      <c r="TKH220" s="19"/>
      <c r="TKI220" s="67"/>
      <c r="TKJ220" s="67"/>
      <c r="TKK220" s="31"/>
      <c r="TKL220" s="19"/>
      <c r="TKM220" s="67"/>
      <c r="TKN220" s="67"/>
      <c r="TKO220" s="31"/>
      <c r="TKP220" s="19"/>
      <c r="TKQ220" s="67"/>
      <c r="TKR220" s="67"/>
      <c r="TKS220" s="31"/>
      <c r="TKT220" s="19"/>
      <c r="TKU220" s="67"/>
      <c r="TKV220" s="67"/>
      <c r="TKW220" s="31"/>
      <c r="TKX220" s="19"/>
      <c r="TKY220" s="67"/>
      <c r="TKZ220" s="67"/>
      <c r="TLA220" s="31"/>
      <c r="TLB220" s="19"/>
      <c r="TLC220" s="67"/>
      <c r="TLD220" s="67"/>
      <c r="TLE220" s="31"/>
      <c r="TLF220" s="19"/>
      <c r="TLG220" s="67"/>
      <c r="TLH220" s="67"/>
      <c r="TLI220" s="31"/>
      <c r="TLJ220" s="19"/>
      <c r="TLK220" s="67"/>
      <c r="TLL220" s="67"/>
      <c r="TLM220" s="31"/>
      <c r="TLN220" s="19"/>
      <c r="TLO220" s="67"/>
      <c r="TLP220" s="67"/>
      <c r="TLQ220" s="31"/>
      <c r="TLR220" s="19"/>
      <c r="TLS220" s="67"/>
      <c r="TLT220" s="67"/>
      <c r="TLU220" s="31"/>
      <c r="TLV220" s="19"/>
      <c r="TLW220" s="67"/>
      <c r="TLX220" s="67"/>
      <c r="TLY220" s="31"/>
      <c r="TLZ220" s="19"/>
      <c r="TMA220" s="67"/>
      <c r="TMB220" s="67"/>
      <c r="TMC220" s="31"/>
      <c r="TMD220" s="19"/>
      <c r="TME220" s="67"/>
      <c r="TMF220" s="67"/>
      <c r="TMG220" s="31"/>
      <c r="TMH220" s="19"/>
      <c r="TMI220" s="67"/>
      <c r="TMJ220" s="67"/>
      <c r="TMK220" s="31"/>
      <c r="TML220" s="19"/>
      <c r="TMM220" s="67"/>
      <c r="TMN220" s="67"/>
      <c r="TMO220" s="31"/>
      <c r="TMP220" s="19"/>
      <c r="TMQ220" s="67"/>
      <c r="TMR220" s="67"/>
      <c r="TMS220" s="31"/>
      <c r="TMT220" s="19"/>
      <c r="TMU220" s="67"/>
      <c r="TMV220" s="67"/>
      <c r="TMW220" s="31"/>
      <c r="TMX220" s="19"/>
      <c r="TMY220" s="67"/>
      <c r="TMZ220" s="67"/>
      <c r="TNA220" s="31"/>
      <c r="TNB220" s="19"/>
      <c r="TNC220" s="67"/>
      <c r="TND220" s="67"/>
      <c r="TNE220" s="31"/>
      <c r="TNF220" s="19"/>
      <c r="TNG220" s="67"/>
      <c r="TNH220" s="67"/>
      <c r="TNI220" s="31"/>
      <c r="TNJ220" s="19"/>
      <c r="TNK220" s="67"/>
      <c r="TNL220" s="67"/>
      <c r="TNM220" s="31"/>
      <c r="TNN220" s="19"/>
      <c r="TNO220" s="67"/>
      <c r="TNP220" s="67"/>
      <c r="TNQ220" s="31"/>
      <c r="TNR220" s="19"/>
      <c r="TNS220" s="67"/>
      <c r="TNT220" s="67"/>
      <c r="TNU220" s="31"/>
      <c r="TNV220" s="19"/>
      <c r="TNW220" s="67"/>
      <c r="TNX220" s="67"/>
      <c r="TNY220" s="31"/>
      <c r="TNZ220" s="19"/>
      <c r="TOA220" s="67"/>
      <c r="TOB220" s="67"/>
      <c r="TOC220" s="31"/>
      <c r="TOD220" s="19"/>
      <c r="TOE220" s="67"/>
      <c r="TOF220" s="67"/>
      <c r="TOG220" s="31"/>
      <c r="TOH220" s="19"/>
      <c r="TOI220" s="67"/>
      <c r="TOJ220" s="67"/>
      <c r="TOK220" s="31"/>
      <c r="TOL220" s="19"/>
      <c r="TOM220" s="67"/>
      <c r="TON220" s="67"/>
      <c r="TOO220" s="31"/>
      <c r="TOP220" s="19"/>
      <c r="TOQ220" s="67"/>
      <c r="TOR220" s="67"/>
      <c r="TOS220" s="31"/>
      <c r="TOT220" s="19"/>
      <c r="TOU220" s="67"/>
      <c r="TOV220" s="67"/>
      <c r="TOW220" s="31"/>
      <c r="TOX220" s="19"/>
      <c r="TOY220" s="67"/>
      <c r="TOZ220" s="67"/>
      <c r="TPA220" s="31"/>
      <c r="TPB220" s="19"/>
      <c r="TPC220" s="67"/>
      <c r="TPD220" s="67"/>
      <c r="TPE220" s="31"/>
      <c r="TPF220" s="19"/>
      <c r="TPG220" s="67"/>
      <c r="TPH220" s="67"/>
      <c r="TPI220" s="31"/>
      <c r="TPJ220" s="19"/>
      <c r="TPK220" s="67"/>
      <c r="TPL220" s="67"/>
      <c r="TPM220" s="31"/>
      <c r="TPN220" s="19"/>
      <c r="TPO220" s="67"/>
      <c r="TPP220" s="67"/>
      <c r="TPQ220" s="31"/>
      <c r="TPR220" s="19"/>
      <c r="TPS220" s="67"/>
      <c r="TPT220" s="67"/>
      <c r="TPU220" s="31"/>
      <c r="TPV220" s="19"/>
      <c r="TPW220" s="67"/>
      <c r="TPX220" s="67"/>
      <c r="TPY220" s="31"/>
      <c r="TPZ220" s="19"/>
      <c r="TQA220" s="67"/>
      <c r="TQB220" s="67"/>
      <c r="TQC220" s="31"/>
      <c r="TQD220" s="19"/>
      <c r="TQE220" s="67"/>
      <c r="TQF220" s="67"/>
      <c r="TQG220" s="31"/>
      <c r="TQH220" s="19"/>
      <c r="TQI220" s="67"/>
      <c r="TQJ220" s="67"/>
      <c r="TQK220" s="31"/>
      <c r="TQL220" s="19"/>
      <c r="TQM220" s="67"/>
      <c r="TQN220" s="67"/>
      <c r="TQO220" s="31"/>
      <c r="TQP220" s="19"/>
      <c r="TQQ220" s="67"/>
      <c r="TQR220" s="67"/>
      <c r="TQS220" s="31"/>
      <c r="TQT220" s="19"/>
      <c r="TQU220" s="67"/>
      <c r="TQV220" s="67"/>
      <c r="TQW220" s="31"/>
      <c r="TQX220" s="19"/>
      <c r="TQY220" s="67"/>
      <c r="TQZ220" s="67"/>
      <c r="TRA220" s="31"/>
      <c r="TRB220" s="19"/>
      <c r="TRC220" s="67"/>
      <c r="TRD220" s="67"/>
      <c r="TRE220" s="31"/>
      <c r="TRF220" s="19"/>
      <c r="TRG220" s="67"/>
      <c r="TRH220" s="67"/>
      <c r="TRI220" s="31"/>
      <c r="TRJ220" s="19"/>
      <c r="TRK220" s="67"/>
      <c r="TRL220" s="67"/>
      <c r="TRM220" s="31"/>
      <c r="TRN220" s="19"/>
      <c r="TRO220" s="67"/>
      <c r="TRP220" s="67"/>
      <c r="TRQ220" s="31"/>
      <c r="TRR220" s="19"/>
      <c r="TRS220" s="67"/>
      <c r="TRT220" s="67"/>
      <c r="TRU220" s="31"/>
      <c r="TRV220" s="19"/>
      <c r="TRW220" s="67"/>
      <c r="TRX220" s="67"/>
      <c r="TRY220" s="31"/>
      <c r="TRZ220" s="19"/>
      <c r="TSA220" s="67"/>
      <c r="TSB220" s="67"/>
      <c r="TSC220" s="31"/>
      <c r="TSD220" s="19"/>
      <c r="TSE220" s="67"/>
      <c r="TSF220" s="67"/>
      <c r="TSG220" s="31"/>
      <c r="TSH220" s="19"/>
      <c r="TSI220" s="67"/>
      <c r="TSJ220" s="67"/>
      <c r="TSK220" s="31"/>
      <c r="TSL220" s="19"/>
      <c r="TSM220" s="67"/>
      <c r="TSN220" s="67"/>
      <c r="TSO220" s="31"/>
      <c r="TSP220" s="19"/>
      <c r="TSQ220" s="67"/>
      <c r="TSR220" s="67"/>
      <c r="TSS220" s="31"/>
      <c r="TST220" s="19"/>
      <c r="TSU220" s="67"/>
      <c r="TSV220" s="67"/>
      <c r="TSW220" s="31"/>
      <c r="TSX220" s="19"/>
      <c r="TSY220" s="67"/>
      <c r="TSZ220" s="67"/>
      <c r="TTA220" s="31"/>
      <c r="TTB220" s="19"/>
      <c r="TTC220" s="67"/>
      <c r="TTD220" s="67"/>
      <c r="TTE220" s="31"/>
      <c r="TTF220" s="19"/>
      <c r="TTG220" s="67"/>
      <c r="TTH220" s="67"/>
      <c r="TTI220" s="31"/>
      <c r="TTJ220" s="19"/>
      <c r="TTK220" s="67"/>
      <c r="TTL220" s="67"/>
      <c r="TTM220" s="31"/>
      <c r="TTN220" s="19"/>
      <c r="TTO220" s="67"/>
      <c r="TTP220" s="67"/>
      <c r="TTQ220" s="31"/>
      <c r="TTR220" s="19"/>
      <c r="TTS220" s="67"/>
      <c r="TTT220" s="67"/>
      <c r="TTU220" s="31"/>
      <c r="TTV220" s="19"/>
      <c r="TTW220" s="67"/>
      <c r="TTX220" s="67"/>
      <c r="TTY220" s="31"/>
      <c r="TTZ220" s="19"/>
      <c r="TUA220" s="67"/>
      <c r="TUB220" s="67"/>
      <c r="TUC220" s="31"/>
      <c r="TUD220" s="19"/>
      <c r="TUE220" s="67"/>
      <c r="TUF220" s="67"/>
      <c r="TUG220" s="31"/>
      <c r="TUH220" s="19"/>
      <c r="TUI220" s="67"/>
      <c r="TUJ220" s="67"/>
      <c r="TUK220" s="31"/>
      <c r="TUL220" s="19"/>
      <c r="TUM220" s="67"/>
      <c r="TUN220" s="67"/>
      <c r="TUO220" s="31"/>
      <c r="TUP220" s="19"/>
      <c r="TUQ220" s="67"/>
      <c r="TUR220" s="67"/>
      <c r="TUS220" s="31"/>
      <c r="TUT220" s="19"/>
      <c r="TUU220" s="67"/>
      <c r="TUV220" s="67"/>
      <c r="TUW220" s="31"/>
      <c r="TUX220" s="19"/>
      <c r="TUY220" s="67"/>
      <c r="TUZ220" s="67"/>
      <c r="TVA220" s="31"/>
      <c r="TVB220" s="19"/>
      <c r="TVC220" s="67"/>
      <c r="TVD220" s="67"/>
      <c r="TVE220" s="31"/>
      <c r="TVF220" s="19"/>
      <c r="TVG220" s="67"/>
      <c r="TVH220" s="67"/>
      <c r="TVI220" s="31"/>
      <c r="TVJ220" s="19"/>
      <c r="TVK220" s="67"/>
      <c r="TVL220" s="67"/>
      <c r="TVM220" s="31"/>
      <c r="TVN220" s="19"/>
      <c r="TVO220" s="67"/>
      <c r="TVP220" s="67"/>
      <c r="TVQ220" s="31"/>
      <c r="TVR220" s="19"/>
      <c r="TVS220" s="67"/>
      <c r="TVT220" s="67"/>
      <c r="TVU220" s="31"/>
      <c r="TVV220" s="19"/>
      <c r="TVW220" s="67"/>
      <c r="TVX220" s="67"/>
      <c r="TVY220" s="31"/>
      <c r="TVZ220" s="19"/>
      <c r="TWA220" s="67"/>
      <c r="TWB220" s="67"/>
      <c r="TWC220" s="31"/>
      <c r="TWD220" s="19"/>
      <c r="TWE220" s="67"/>
      <c r="TWF220" s="67"/>
      <c r="TWG220" s="31"/>
      <c r="TWH220" s="19"/>
      <c r="TWI220" s="67"/>
      <c r="TWJ220" s="67"/>
      <c r="TWK220" s="31"/>
      <c r="TWL220" s="19"/>
      <c r="TWM220" s="67"/>
      <c r="TWN220" s="67"/>
      <c r="TWO220" s="31"/>
      <c r="TWP220" s="19"/>
      <c r="TWQ220" s="67"/>
      <c r="TWR220" s="67"/>
      <c r="TWS220" s="31"/>
      <c r="TWT220" s="19"/>
      <c r="TWU220" s="67"/>
      <c r="TWV220" s="67"/>
      <c r="TWW220" s="31"/>
      <c r="TWX220" s="19"/>
      <c r="TWY220" s="67"/>
      <c r="TWZ220" s="67"/>
      <c r="TXA220" s="31"/>
      <c r="TXB220" s="19"/>
      <c r="TXC220" s="67"/>
      <c r="TXD220" s="67"/>
      <c r="TXE220" s="31"/>
      <c r="TXF220" s="19"/>
      <c r="TXG220" s="67"/>
      <c r="TXH220" s="67"/>
      <c r="TXI220" s="31"/>
      <c r="TXJ220" s="19"/>
      <c r="TXK220" s="67"/>
      <c r="TXL220" s="67"/>
      <c r="TXM220" s="31"/>
      <c r="TXN220" s="19"/>
      <c r="TXO220" s="67"/>
      <c r="TXP220" s="67"/>
      <c r="TXQ220" s="31"/>
      <c r="TXR220" s="19"/>
      <c r="TXS220" s="67"/>
      <c r="TXT220" s="67"/>
      <c r="TXU220" s="31"/>
      <c r="TXV220" s="19"/>
      <c r="TXW220" s="67"/>
      <c r="TXX220" s="67"/>
      <c r="TXY220" s="31"/>
      <c r="TXZ220" s="19"/>
      <c r="TYA220" s="67"/>
      <c r="TYB220" s="67"/>
      <c r="TYC220" s="31"/>
      <c r="TYD220" s="19"/>
      <c r="TYE220" s="67"/>
      <c r="TYF220" s="67"/>
      <c r="TYG220" s="31"/>
      <c r="TYH220" s="19"/>
      <c r="TYI220" s="67"/>
      <c r="TYJ220" s="67"/>
      <c r="TYK220" s="31"/>
      <c r="TYL220" s="19"/>
      <c r="TYM220" s="67"/>
      <c r="TYN220" s="67"/>
      <c r="TYO220" s="31"/>
      <c r="TYP220" s="19"/>
      <c r="TYQ220" s="67"/>
      <c r="TYR220" s="67"/>
      <c r="TYS220" s="31"/>
      <c r="TYT220" s="19"/>
      <c r="TYU220" s="67"/>
      <c r="TYV220" s="67"/>
      <c r="TYW220" s="31"/>
      <c r="TYX220" s="19"/>
      <c r="TYY220" s="67"/>
      <c r="TYZ220" s="67"/>
      <c r="TZA220" s="31"/>
      <c r="TZB220" s="19"/>
      <c r="TZC220" s="67"/>
      <c r="TZD220" s="67"/>
      <c r="TZE220" s="31"/>
      <c r="TZF220" s="19"/>
      <c r="TZG220" s="67"/>
      <c r="TZH220" s="67"/>
      <c r="TZI220" s="31"/>
      <c r="TZJ220" s="19"/>
      <c r="TZK220" s="67"/>
      <c r="TZL220" s="67"/>
      <c r="TZM220" s="31"/>
      <c r="TZN220" s="19"/>
      <c r="TZO220" s="67"/>
      <c r="TZP220" s="67"/>
      <c r="TZQ220" s="31"/>
      <c r="TZR220" s="19"/>
      <c r="TZS220" s="67"/>
      <c r="TZT220" s="67"/>
      <c r="TZU220" s="31"/>
      <c r="TZV220" s="19"/>
      <c r="TZW220" s="67"/>
      <c r="TZX220" s="67"/>
      <c r="TZY220" s="31"/>
      <c r="TZZ220" s="19"/>
      <c r="UAA220" s="67"/>
      <c r="UAB220" s="67"/>
      <c r="UAC220" s="31"/>
      <c r="UAD220" s="19"/>
      <c r="UAE220" s="67"/>
      <c r="UAF220" s="67"/>
      <c r="UAG220" s="31"/>
      <c r="UAH220" s="19"/>
      <c r="UAI220" s="67"/>
      <c r="UAJ220" s="67"/>
      <c r="UAK220" s="31"/>
      <c r="UAL220" s="19"/>
      <c r="UAM220" s="67"/>
      <c r="UAN220" s="67"/>
      <c r="UAO220" s="31"/>
      <c r="UAP220" s="19"/>
      <c r="UAQ220" s="67"/>
      <c r="UAR220" s="67"/>
      <c r="UAS220" s="31"/>
      <c r="UAT220" s="19"/>
      <c r="UAU220" s="67"/>
      <c r="UAV220" s="67"/>
      <c r="UAW220" s="31"/>
      <c r="UAX220" s="19"/>
      <c r="UAY220" s="67"/>
      <c r="UAZ220" s="67"/>
      <c r="UBA220" s="31"/>
      <c r="UBB220" s="19"/>
      <c r="UBC220" s="67"/>
      <c r="UBD220" s="67"/>
      <c r="UBE220" s="31"/>
      <c r="UBF220" s="19"/>
      <c r="UBG220" s="67"/>
      <c r="UBH220" s="67"/>
      <c r="UBI220" s="31"/>
      <c r="UBJ220" s="19"/>
      <c r="UBK220" s="67"/>
      <c r="UBL220" s="67"/>
      <c r="UBM220" s="31"/>
      <c r="UBN220" s="19"/>
      <c r="UBO220" s="67"/>
      <c r="UBP220" s="67"/>
      <c r="UBQ220" s="31"/>
      <c r="UBR220" s="19"/>
      <c r="UBS220" s="67"/>
      <c r="UBT220" s="67"/>
      <c r="UBU220" s="31"/>
      <c r="UBV220" s="19"/>
      <c r="UBW220" s="67"/>
      <c r="UBX220" s="67"/>
      <c r="UBY220" s="31"/>
      <c r="UBZ220" s="19"/>
      <c r="UCA220" s="67"/>
      <c r="UCB220" s="67"/>
      <c r="UCC220" s="31"/>
      <c r="UCD220" s="19"/>
      <c r="UCE220" s="67"/>
      <c r="UCF220" s="67"/>
      <c r="UCG220" s="31"/>
      <c r="UCH220" s="19"/>
      <c r="UCI220" s="67"/>
      <c r="UCJ220" s="67"/>
      <c r="UCK220" s="31"/>
      <c r="UCL220" s="19"/>
      <c r="UCM220" s="67"/>
      <c r="UCN220" s="67"/>
      <c r="UCO220" s="31"/>
      <c r="UCP220" s="19"/>
      <c r="UCQ220" s="67"/>
      <c r="UCR220" s="67"/>
      <c r="UCS220" s="31"/>
      <c r="UCT220" s="19"/>
      <c r="UCU220" s="67"/>
      <c r="UCV220" s="67"/>
      <c r="UCW220" s="31"/>
      <c r="UCX220" s="19"/>
      <c r="UCY220" s="67"/>
      <c r="UCZ220" s="67"/>
      <c r="UDA220" s="31"/>
      <c r="UDB220" s="19"/>
      <c r="UDC220" s="67"/>
      <c r="UDD220" s="67"/>
      <c r="UDE220" s="31"/>
      <c r="UDF220" s="19"/>
      <c r="UDG220" s="67"/>
      <c r="UDH220" s="67"/>
      <c r="UDI220" s="31"/>
      <c r="UDJ220" s="19"/>
      <c r="UDK220" s="67"/>
      <c r="UDL220" s="67"/>
      <c r="UDM220" s="31"/>
      <c r="UDN220" s="19"/>
      <c r="UDO220" s="67"/>
      <c r="UDP220" s="67"/>
      <c r="UDQ220" s="31"/>
      <c r="UDR220" s="19"/>
      <c r="UDS220" s="67"/>
      <c r="UDT220" s="67"/>
      <c r="UDU220" s="31"/>
      <c r="UDV220" s="19"/>
      <c r="UDW220" s="67"/>
      <c r="UDX220" s="67"/>
      <c r="UDY220" s="31"/>
      <c r="UDZ220" s="19"/>
      <c r="UEA220" s="67"/>
      <c r="UEB220" s="67"/>
      <c r="UEC220" s="31"/>
      <c r="UED220" s="19"/>
      <c r="UEE220" s="67"/>
      <c r="UEF220" s="67"/>
      <c r="UEG220" s="31"/>
      <c r="UEH220" s="19"/>
      <c r="UEI220" s="67"/>
      <c r="UEJ220" s="67"/>
      <c r="UEK220" s="31"/>
      <c r="UEL220" s="19"/>
      <c r="UEM220" s="67"/>
      <c r="UEN220" s="67"/>
      <c r="UEO220" s="31"/>
      <c r="UEP220" s="19"/>
      <c r="UEQ220" s="67"/>
      <c r="UER220" s="67"/>
      <c r="UES220" s="31"/>
      <c r="UET220" s="19"/>
      <c r="UEU220" s="67"/>
      <c r="UEV220" s="67"/>
      <c r="UEW220" s="31"/>
      <c r="UEX220" s="19"/>
      <c r="UEY220" s="67"/>
      <c r="UEZ220" s="67"/>
      <c r="UFA220" s="31"/>
      <c r="UFB220" s="19"/>
      <c r="UFC220" s="67"/>
      <c r="UFD220" s="67"/>
      <c r="UFE220" s="31"/>
      <c r="UFF220" s="19"/>
      <c r="UFG220" s="67"/>
      <c r="UFH220" s="67"/>
      <c r="UFI220" s="31"/>
      <c r="UFJ220" s="19"/>
      <c r="UFK220" s="67"/>
      <c r="UFL220" s="67"/>
      <c r="UFM220" s="31"/>
      <c r="UFN220" s="19"/>
      <c r="UFO220" s="67"/>
      <c r="UFP220" s="67"/>
      <c r="UFQ220" s="31"/>
      <c r="UFR220" s="19"/>
      <c r="UFS220" s="67"/>
      <c r="UFT220" s="67"/>
      <c r="UFU220" s="31"/>
      <c r="UFV220" s="19"/>
      <c r="UFW220" s="67"/>
      <c r="UFX220" s="67"/>
      <c r="UFY220" s="31"/>
      <c r="UFZ220" s="19"/>
      <c r="UGA220" s="67"/>
      <c r="UGB220" s="67"/>
      <c r="UGC220" s="31"/>
      <c r="UGD220" s="19"/>
      <c r="UGE220" s="67"/>
      <c r="UGF220" s="67"/>
      <c r="UGG220" s="31"/>
      <c r="UGH220" s="19"/>
      <c r="UGI220" s="67"/>
      <c r="UGJ220" s="67"/>
      <c r="UGK220" s="31"/>
      <c r="UGL220" s="19"/>
      <c r="UGM220" s="67"/>
      <c r="UGN220" s="67"/>
      <c r="UGO220" s="31"/>
      <c r="UGP220" s="19"/>
      <c r="UGQ220" s="67"/>
      <c r="UGR220" s="67"/>
      <c r="UGS220" s="31"/>
      <c r="UGT220" s="19"/>
      <c r="UGU220" s="67"/>
      <c r="UGV220" s="67"/>
      <c r="UGW220" s="31"/>
      <c r="UGX220" s="19"/>
      <c r="UGY220" s="67"/>
      <c r="UGZ220" s="67"/>
      <c r="UHA220" s="31"/>
      <c r="UHB220" s="19"/>
      <c r="UHC220" s="67"/>
      <c r="UHD220" s="67"/>
      <c r="UHE220" s="31"/>
      <c r="UHF220" s="19"/>
      <c r="UHG220" s="67"/>
      <c r="UHH220" s="67"/>
      <c r="UHI220" s="31"/>
      <c r="UHJ220" s="19"/>
      <c r="UHK220" s="67"/>
      <c r="UHL220" s="67"/>
      <c r="UHM220" s="31"/>
      <c r="UHN220" s="19"/>
      <c r="UHO220" s="67"/>
      <c r="UHP220" s="67"/>
      <c r="UHQ220" s="31"/>
      <c r="UHR220" s="19"/>
      <c r="UHS220" s="67"/>
      <c r="UHT220" s="67"/>
      <c r="UHU220" s="31"/>
      <c r="UHV220" s="19"/>
      <c r="UHW220" s="67"/>
      <c r="UHX220" s="67"/>
      <c r="UHY220" s="31"/>
      <c r="UHZ220" s="19"/>
      <c r="UIA220" s="67"/>
      <c r="UIB220" s="67"/>
      <c r="UIC220" s="31"/>
      <c r="UID220" s="19"/>
      <c r="UIE220" s="67"/>
      <c r="UIF220" s="67"/>
      <c r="UIG220" s="31"/>
      <c r="UIH220" s="19"/>
      <c r="UII220" s="67"/>
      <c r="UIJ220" s="67"/>
      <c r="UIK220" s="31"/>
      <c r="UIL220" s="19"/>
      <c r="UIM220" s="67"/>
      <c r="UIN220" s="67"/>
      <c r="UIO220" s="31"/>
      <c r="UIP220" s="19"/>
      <c r="UIQ220" s="67"/>
      <c r="UIR220" s="67"/>
      <c r="UIS220" s="31"/>
      <c r="UIT220" s="19"/>
      <c r="UIU220" s="67"/>
      <c r="UIV220" s="67"/>
      <c r="UIW220" s="31"/>
      <c r="UIX220" s="19"/>
      <c r="UIY220" s="67"/>
      <c r="UIZ220" s="67"/>
      <c r="UJA220" s="31"/>
      <c r="UJB220" s="19"/>
      <c r="UJC220" s="67"/>
      <c r="UJD220" s="67"/>
      <c r="UJE220" s="31"/>
      <c r="UJF220" s="19"/>
      <c r="UJG220" s="67"/>
      <c r="UJH220" s="67"/>
      <c r="UJI220" s="31"/>
      <c r="UJJ220" s="19"/>
      <c r="UJK220" s="67"/>
      <c r="UJL220" s="67"/>
      <c r="UJM220" s="31"/>
      <c r="UJN220" s="19"/>
      <c r="UJO220" s="67"/>
      <c r="UJP220" s="67"/>
      <c r="UJQ220" s="31"/>
      <c r="UJR220" s="19"/>
      <c r="UJS220" s="67"/>
      <c r="UJT220" s="67"/>
      <c r="UJU220" s="31"/>
      <c r="UJV220" s="19"/>
      <c r="UJW220" s="67"/>
      <c r="UJX220" s="67"/>
      <c r="UJY220" s="31"/>
      <c r="UJZ220" s="19"/>
      <c r="UKA220" s="67"/>
      <c r="UKB220" s="67"/>
      <c r="UKC220" s="31"/>
      <c r="UKD220" s="19"/>
      <c r="UKE220" s="67"/>
      <c r="UKF220" s="67"/>
      <c r="UKG220" s="31"/>
      <c r="UKH220" s="19"/>
      <c r="UKI220" s="67"/>
      <c r="UKJ220" s="67"/>
      <c r="UKK220" s="31"/>
      <c r="UKL220" s="19"/>
      <c r="UKM220" s="67"/>
      <c r="UKN220" s="67"/>
      <c r="UKO220" s="31"/>
      <c r="UKP220" s="19"/>
      <c r="UKQ220" s="67"/>
      <c r="UKR220" s="67"/>
      <c r="UKS220" s="31"/>
      <c r="UKT220" s="19"/>
      <c r="UKU220" s="67"/>
      <c r="UKV220" s="67"/>
      <c r="UKW220" s="31"/>
      <c r="UKX220" s="19"/>
      <c r="UKY220" s="67"/>
      <c r="UKZ220" s="67"/>
      <c r="ULA220" s="31"/>
      <c r="ULB220" s="19"/>
      <c r="ULC220" s="67"/>
      <c r="ULD220" s="67"/>
      <c r="ULE220" s="31"/>
      <c r="ULF220" s="19"/>
      <c r="ULG220" s="67"/>
      <c r="ULH220" s="67"/>
      <c r="ULI220" s="31"/>
      <c r="ULJ220" s="19"/>
      <c r="ULK220" s="67"/>
      <c r="ULL220" s="67"/>
      <c r="ULM220" s="31"/>
      <c r="ULN220" s="19"/>
      <c r="ULO220" s="67"/>
      <c r="ULP220" s="67"/>
      <c r="ULQ220" s="31"/>
      <c r="ULR220" s="19"/>
      <c r="ULS220" s="67"/>
      <c r="ULT220" s="67"/>
      <c r="ULU220" s="31"/>
      <c r="ULV220" s="19"/>
      <c r="ULW220" s="67"/>
      <c r="ULX220" s="67"/>
      <c r="ULY220" s="31"/>
      <c r="ULZ220" s="19"/>
      <c r="UMA220" s="67"/>
      <c r="UMB220" s="67"/>
      <c r="UMC220" s="31"/>
      <c r="UMD220" s="19"/>
      <c r="UME220" s="67"/>
      <c r="UMF220" s="67"/>
      <c r="UMG220" s="31"/>
      <c r="UMH220" s="19"/>
      <c r="UMI220" s="67"/>
      <c r="UMJ220" s="67"/>
      <c r="UMK220" s="31"/>
      <c r="UML220" s="19"/>
      <c r="UMM220" s="67"/>
      <c r="UMN220" s="67"/>
      <c r="UMO220" s="31"/>
      <c r="UMP220" s="19"/>
      <c r="UMQ220" s="67"/>
      <c r="UMR220" s="67"/>
      <c r="UMS220" s="31"/>
      <c r="UMT220" s="19"/>
      <c r="UMU220" s="67"/>
      <c r="UMV220" s="67"/>
      <c r="UMW220" s="31"/>
      <c r="UMX220" s="19"/>
      <c r="UMY220" s="67"/>
      <c r="UMZ220" s="67"/>
      <c r="UNA220" s="31"/>
      <c r="UNB220" s="19"/>
      <c r="UNC220" s="67"/>
      <c r="UND220" s="67"/>
      <c r="UNE220" s="31"/>
      <c r="UNF220" s="19"/>
      <c r="UNG220" s="67"/>
      <c r="UNH220" s="67"/>
      <c r="UNI220" s="31"/>
      <c r="UNJ220" s="19"/>
      <c r="UNK220" s="67"/>
      <c r="UNL220" s="67"/>
      <c r="UNM220" s="31"/>
      <c r="UNN220" s="19"/>
      <c r="UNO220" s="67"/>
      <c r="UNP220" s="67"/>
      <c r="UNQ220" s="31"/>
      <c r="UNR220" s="19"/>
      <c r="UNS220" s="67"/>
      <c r="UNT220" s="67"/>
      <c r="UNU220" s="31"/>
      <c r="UNV220" s="19"/>
      <c r="UNW220" s="67"/>
      <c r="UNX220" s="67"/>
      <c r="UNY220" s="31"/>
      <c r="UNZ220" s="19"/>
      <c r="UOA220" s="67"/>
      <c r="UOB220" s="67"/>
      <c r="UOC220" s="31"/>
      <c r="UOD220" s="19"/>
      <c r="UOE220" s="67"/>
      <c r="UOF220" s="67"/>
      <c r="UOG220" s="31"/>
      <c r="UOH220" s="19"/>
      <c r="UOI220" s="67"/>
      <c r="UOJ220" s="67"/>
      <c r="UOK220" s="31"/>
      <c r="UOL220" s="19"/>
      <c r="UOM220" s="67"/>
      <c r="UON220" s="67"/>
      <c r="UOO220" s="31"/>
      <c r="UOP220" s="19"/>
      <c r="UOQ220" s="67"/>
      <c r="UOR220" s="67"/>
      <c r="UOS220" s="31"/>
      <c r="UOT220" s="19"/>
      <c r="UOU220" s="67"/>
      <c r="UOV220" s="67"/>
      <c r="UOW220" s="31"/>
      <c r="UOX220" s="19"/>
      <c r="UOY220" s="67"/>
      <c r="UOZ220" s="67"/>
      <c r="UPA220" s="31"/>
      <c r="UPB220" s="19"/>
      <c r="UPC220" s="67"/>
      <c r="UPD220" s="67"/>
      <c r="UPE220" s="31"/>
      <c r="UPF220" s="19"/>
      <c r="UPG220" s="67"/>
      <c r="UPH220" s="67"/>
      <c r="UPI220" s="31"/>
      <c r="UPJ220" s="19"/>
      <c r="UPK220" s="67"/>
      <c r="UPL220" s="67"/>
      <c r="UPM220" s="31"/>
      <c r="UPN220" s="19"/>
      <c r="UPO220" s="67"/>
      <c r="UPP220" s="67"/>
      <c r="UPQ220" s="31"/>
      <c r="UPR220" s="19"/>
      <c r="UPS220" s="67"/>
      <c r="UPT220" s="67"/>
      <c r="UPU220" s="31"/>
      <c r="UPV220" s="19"/>
      <c r="UPW220" s="67"/>
      <c r="UPX220" s="67"/>
      <c r="UPY220" s="31"/>
      <c r="UPZ220" s="19"/>
      <c r="UQA220" s="67"/>
      <c r="UQB220" s="67"/>
      <c r="UQC220" s="31"/>
      <c r="UQD220" s="19"/>
      <c r="UQE220" s="67"/>
      <c r="UQF220" s="67"/>
      <c r="UQG220" s="31"/>
      <c r="UQH220" s="19"/>
      <c r="UQI220" s="67"/>
      <c r="UQJ220" s="67"/>
      <c r="UQK220" s="31"/>
      <c r="UQL220" s="19"/>
      <c r="UQM220" s="67"/>
      <c r="UQN220" s="67"/>
      <c r="UQO220" s="31"/>
      <c r="UQP220" s="19"/>
      <c r="UQQ220" s="67"/>
      <c r="UQR220" s="67"/>
      <c r="UQS220" s="31"/>
      <c r="UQT220" s="19"/>
      <c r="UQU220" s="67"/>
      <c r="UQV220" s="67"/>
      <c r="UQW220" s="31"/>
      <c r="UQX220" s="19"/>
      <c r="UQY220" s="67"/>
      <c r="UQZ220" s="67"/>
      <c r="URA220" s="31"/>
      <c r="URB220" s="19"/>
      <c r="URC220" s="67"/>
      <c r="URD220" s="67"/>
      <c r="URE220" s="31"/>
      <c r="URF220" s="19"/>
      <c r="URG220" s="67"/>
      <c r="URH220" s="67"/>
      <c r="URI220" s="31"/>
      <c r="URJ220" s="19"/>
      <c r="URK220" s="67"/>
      <c r="URL220" s="67"/>
      <c r="URM220" s="31"/>
      <c r="URN220" s="19"/>
      <c r="URO220" s="67"/>
      <c r="URP220" s="67"/>
      <c r="URQ220" s="31"/>
      <c r="URR220" s="19"/>
      <c r="URS220" s="67"/>
      <c r="URT220" s="67"/>
      <c r="URU220" s="31"/>
      <c r="URV220" s="19"/>
      <c r="URW220" s="67"/>
      <c r="URX220" s="67"/>
      <c r="URY220" s="31"/>
      <c r="URZ220" s="19"/>
      <c r="USA220" s="67"/>
      <c r="USB220" s="67"/>
      <c r="USC220" s="31"/>
      <c r="USD220" s="19"/>
      <c r="USE220" s="67"/>
      <c r="USF220" s="67"/>
      <c r="USG220" s="31"/>
      <c r="USH220" s="19"/>
      <c r="USI220" s="67"/>
      <c r="USJ220" s="67"/>
      <c r="USK220" s="31"/>
      <c r="USL220" s="19"/>
      <c r="USM220" s="67"/>
      <c r="USN220" s="67"/>
      <c r="USO220" s="31"/>
      <c r="USP220" s="19"/>
      <c r="USQ220" s="67"/>
      <c r="USR220" s="67"/>
      <c r="USS220" s="31"/>
      <c r="UST220" s="19"/>
      <c r="USU220" s="67"/>
      <c r="USV220" s="67"/>
      <c r="USW220" s="31"/>
      <c r="USX220" s="19"/>
      <c r="USY220" s="67"/>
      <c r="USZ220" s="67"/>
      <c r="UTA220" s="31"/>
      <c r="UTB220" s="19"/>
      <c r="UTC220" s="67"/>
      <c r="UTD220" s="67"/>
      <c r="UTE220" s="31"/>
      <c r="UTF220" s="19"/>
      <c r="UTG220" s="67"/>
      <c r="UTH220" s="67"/>
      <c r="UTI220" s="31"/>
      <c r="UTJ220" s="19"/>
      <c r="UTK220" s="67"/>
      <c r="UTL220" s="67"/>
      <c r="UTM220" s="31"/>
      <c r="UTN220" s="19"/>
      <c r="UTO220" s="67"/>
      <c r="UTP220" s="67"/>
      <c r="UTQ220" s="31"/>
      <c r="UTR220" s="19"/>
      <c r="UTS220" s="67"/>
      <c r="UTT220" s="67"/>
      <c r="UTU220" s="31"/>
      <c r="UTV220" s="19"/>
      <c r="UTW220" s="67"/>
      <c r="UTX220" s="67"/>
      <c r="UTY220" s="31"/>
      <c r="UTZ220" s="19"/>
      <c r="UUA220" s="67"/>
      <c r="UUB220" s="67"/>
      <c r="UUC220" s="31"/>
      <c r="UUD220" s="19"/>
      <c r="UUE220" s="67"/>
      <c r="UUF220" s="67"/>
      <c r="UUG220" s="31"/>
      <c r="UUH220" s="19"/>
      <c r="UUI220" s="67"/>
      <c r="UUJ220" s="67"/>
      <c r="UUK220" s="31"/>
      <c r="UUL220" s="19"/>
      <c r="UUM220" s="67"/>
      <c r="UUN220" s="67"/>
      <c r="UUO220" s="31"/>
      <c r="UUP220" s="19"/>
      <c r="UUQ220" s="67"/>
      <c r="UUR220" s="67"/>
      <c r="UUS220" s="31"/>
      <c r="UUT220" s="19"/>
      <c r="UUU220" s="67"/>
      <c r="UUV220" s="67"/>
      <c r="UUW220" s="31"/>
      <c r="UUX220" s="19"/>
      <c r="UUY220" s="67"/>
      <c r="UUZ220" s="67"/>
      <c r="UVA220" s="31"/>
      <c r="UVB220" s="19"/>
      <c r="UVC220" s="67"/>
      <c r="UVD220" s="67"/>
      <c r="UVE220" s="31"/>
      <c r="UVF220" s="19"/>
      <c r="UVG220" s="67"/>
      <c r="UVH220" s="67"/>
      <c r="UVI220" s="31"/>
      <c r="UVJ220" s="19"/>
      <c r="UVK220" s="67"/>
      <c r="UVL220" s="67"/>
      <c r="UVM220" s="31"/>
      <c r="UVN220" s="19"/>
      <c r="UVO220" s="67"/>
      <c r="UVP220" s="67"/>
      <c r="UVQ220" s="31"/>
      <c r="UVR220" s="19"/>
      <c r="UVS220" s="67"/>
      <c r="UVT220" s="67"/>
      <c r="UVU220" s="31"/>
      <c r="UVV220" s="19"/>
      <c r="UVW220" s="67"/>
      <c r="UVX220" s="67"/>
      <c r="UVY220" s="31"/>
      <c r="UVZ220" s="19"/>
      <c r="UWA220" s="67"/>
      <c r="UWB220" s="67"/>
      <c r="UWC220" s="31"/>
      <c r="UWD220" s="19"/>
      <c r="UWE220" s="67"/>
      <c r="UWF220" s="67"/>
      <c r="UWG220" s="31"/>
      <c r="UWH220" s="19"/>
      <c r="UWI220" s="67"/>
      <c r="UWJ220" s="67"/>
      <c r="UWK220" s="31"/>
      <c r="UWL220" s="19"/>
      <c r="UWM220" s="67"/>
      <c r="UWN220" s="67"/>
      <c r="UWO220" s="31"/>
      <c r="UWP220" s="19"/>
      <c r="UWQ220" s="67"/>
      <c r="UWR220" s="67"/>
      <c r="UWS220" s="31"/>
      <c r="UWT220" s="19"/>
      <c r="UWU220" s="67"/>
      <c r="UWV220" s="67"/>
      <c r="UWW220" s="31"/>
      <c r="UWX220" s="19"/>
      <c r="UWY220" s="67"/>
      <c r="UWZ220" s="67"/>
      <c r="UXA220" s="31"/>
      <c r="UXB220" s="19"/>
      <c r="UXC220" s="67"/>
      <c r="UXD220" s="67"/>
      <c r="UXE220" s="31"/>
      <c r="UXF220" s="19"/>
      <c r="UXG220" s="67"/>
      <c r="UXH220" s="67"/>
      <c r="UXI220" s="31"/>
      <c r="UXJ220" s="19"/>
      <c r="UXK220" s="67"/>
      <c r="UXL220" s="67"/>
      <c r="UXM220" s="31"/>
      <c r="UXN220" s="19"/>
      <c r="UXO220" s="67"/>
      <c r="UXP220" s="67"/>
      <c r="UXQ220" s="31"/>
      <c r="UXR220" s="19"/>
      <c r="UXS220" s="67"/>
      <c r="UXT220" s="67"/>
      <c r="UXU220" s="31"/>
      <c r="UXV220" s="19"/>
      <c r="UXW220" s="67"/>
      <c r="UXX220" s="67"/>
      <c r="UXY220" s="31"/>
      <c r="UXZ220" s="19"/>
      <c r="UYA220" s="67"/>
      <c r="UYB220" s="67"/>
      <c r="UYC220" s="31"/>
      <c r="UYD220" s="19"/>
      <c r="UYE220" s="67"/>
      <c r="UYF220" s="67"/>
      <c r="UYG220" s="31"/>
      <c r="UYH220" s="19"/>
      <c r="UYI220" s="67"/>
      <c r="UYJ220" s="67"/>
      <c r="UYK220" s="31"/>
      <c r="UYL220" s="19"/>
      <c r="UYM220" s="67"/>
      <c r="UYN220" s="67"/>
      <c r="UYO220" s="31"/>
      <c r="UYP220" s="19"/>
      <c r="UYQ220" s="67"/>
      <c r="UYR220" s="67"/>
      <c r="UYS220" s="31"/>
      <c r="UYT220" s="19"/>
      <c r="UYU220" s="67"/>
      <c r="UYV220" s="67"/>
      <c r="UYW220" s="31"/>
      <c r="UYX220" s="19"/>
      <c r="UYY220" s="67"/>
      <c r="UYZ220" s="67"/>
      <c r="UZA220" s="31"/>
      <c r="UZB220" s="19"/>
      <c r="UZC220" s="67"/>
      <c r="UZD220" s="67"/>
      <c r="UZE220" s="31"/>
      <c r="UZF220" s="19"/>
      <c r="UZG220" s="67"/>
      <c r="UZH220" s="67"/>
      <c r="UZI220" s="31"/>
      <c r="UZJ220" s="19"/>
      <c r="UZK220" s="67"/>
      <c r="UZL220" s="67"/>
      <c r="UZM220" s="31"/>
      <c r="UZN220" s="19"/>
      <c r="UZO220" s="67"/>
      <c r="UZP220" s="67"/>
      <c r="UZQ220" s="31"/>
      <c r="UZR220" s="19"/>
      <c r="UZS220" s="67"/>
      <c r="UZT220" s="67"/>
      <c r="UZU220" s="31"/>
      <c r="UZV220" s="19"/>
      <c r="UZW220" s="67"/>
      <c r="UZX220" s="67"/>
      <c r="UZY220" s="31"/>
      <c r="UZZ220" s="19"/>
      <c r="VAA220" s="67"/>
      <c r="VAB220" s="67"/>
      <c r="VAC220" s="31"/>
      <c r="VAD220" s="19"/>
      <c r="VAE220" s="67"/>
      <c r="VAF220" s="67"/>
      <c r="VAG220" s="31"/>
      <c r="VAH220" s="19"/>
      <c r="VAI220" s="67"/>
      <c r="VAJ220" s="67"/>
      <c r="VAK220" s="31"/>
      <c r="VAL220" s="19"/>
      <c r="VAM220" s="67"/>
      <c r="VAN220" s="67"/>
      <c r="VAO220" s="31"/>
      <c r="VAP220" s="19"/>
      <c r="VAQ220" s="67"/>
      <c r="VAR220" s="67"/>
      <c r="VAS220" s="31"/>
      <c r="VAT220" s="19"/>
      <c r="VAU220" s="67"/>
      <c r="VAV220" s="67"/>
      <c r="VAW220" s="31"/>
      <c r="VAX220" s="19"/>
      <c r="VAY220" s="67"/>
      <c r="VAZ220" s="67"/>
      <c r="VBA220" s="31"/>
      <c r="VBB220" s="19"/>
      <c r="VBC220" s="67"/>
      <c r="VBD220" s="67"/>
      <c r="VBE220" s="31"/>
      <c r="VBF220" s="19"/>
      <c r="VBG220" s="67"/>
      <c r="VBH220" s="67"/>
      <c r="VBI220" s="31"/>
      <c r="VBJ220" s="19"/>
      <c r="VBK220" s="67"/>
      <c r="VBL220" s="67"/>
      <c r="VBM220" s="31"/>
      <c r="VBN220" s="19"/>
      <c r="VBO220" s="67"/>
      <c r="VBP220" s="67"/>
      <c r="VBQ220" s="31"/>
      <c r="VBR220" s="19"/>
      <c r="VBS220" s="67"/>
      <c r="VBT220" s="67"/>
      <c r="VBU220" s="31"/>
      <c r="VBV220" s="19"/>
      <c r="VBW220" s="67"/>
      <c r="VBX220" s="67"/>
      <c r="VBY220" s="31"/>
      <c r="VBZ220" s="19"/>
      <c r="VCA220" s="67"/>
      <c r="VCB220" s="67"/>
      <c r="VCC220" s="31"/>
      <c r="VCD220" s="19"/>
      <c r="VCE220" s="67"/>
      <c r="VCF220" s="67"/>
      <c r="VCG220" s="31"/>
      <c r="VCH220" s="19"/>
      <c r="VCI220" s="67"/>
      <c r="VCJ220" s="67"/>
      <c r="VCK220" s="31"/>
      <c r="VCL220" s="19"/>
      <c r="VCM220" s="67"/>
      <c r="VCN220" s="67"/>
      <c r="VCO220" s="31"/>
      <c r="VCP220" s="19"/>
      <c r="VCQ220" s="67"/>
      <c r="VCR220" s="67"/>
      <c r="VCS220" s="31"/>
      <c r="VCT220" s="19"/>
      <c r="VCU220" s="67"/>
      <c r="VCV220" s="67"/>
      <c r="VCW220" s="31"/>
      <c r="VCX220" s="19"/>
      <c r="VCY220" s="67"/>
      <c r="VCZ220" s="67"/>
      <c r="VDA220" s="31"/>
      <c r="VDB220" s="19"/>
      <c r="VDC220" s="67"/>
      <c r="VDD220" s="67"/>
      <c r="VDE220" s="31"/>
      <c r="VDF220" s="19"/>
      <c r="VDG220" s="67"/>
      <c r="VDH220" s="67"/>
      <c r="VDI220" s="31"/>
      <c r="VDJ220" s="19"/>
      <c r="VDK220" s="67"/>
      <c r="VDL220" s="67"/>
      <c r="VDM220" s="31"/>
      <c r="VDN220" s="19"/>
      <c r="VDO220" s="67"/>
      <c r="VDP220" s="67"/>
      <c r="VDQ220" s="31"/>
      <c r="VDR220" s="19"/>
      <c r="VDS220" s="67"/>
      <c r="VDT220" s="67"/>
      <c r="VDU220" s="31"/>
      <c r="VDV220" s="19"/>
      <c r="VDW220" s="67"/>
      <c r="VDX220" s="67"/>
      <c r="VDY220" s="31"/>
      <c r="VDZ220" s="19"/>
      <c r="VEA220" s="67"/>
      <c r="VEB220" s="67"/>
      <c r="VEC220" s="31"/>
      <c r="VED220" s="19"/>
      <c r="VEE220" s="67"/>
      <c r="VEF220" s="67"/>
      <c r="VEG220" s="31"/>
      <c r="VEH220" s="19"/>
      <c r="VEI220" s="67"/>
      <c r="VEJ220" s="67"/>
      <c r="VEK220" s="31"/>
      <c r="VEL220" s="19"/>
      <c r="VEM220" s="67"/>
      <c r="VEN220" s="67"/>
      <c r="VEO220" s="31"/>
      <c r="VEP220" s="19"/>
      <c r="VEQ220" s="67"/>
      <c r="VER220" s="67"/>
      <c r="VES220" s="31"/>
      <c r="VET220" s="19"/>
      <c r="VEU220" s="67"/>
      <c r="VEV220" s="67"/>
      <c r="VEW220" s="31"/>
      <c r="VEX220" s="19"/>
      <c r="VEY220" s="67"/>
      <c r="VEZ220" s="67"/>
      <c r="VFA220" s="31"/>
      <c r="VFB220" s="19"/>
      <c r="VFC220" s="67"/>
      <c r="VFD220" s="67"/>
      <c r="VFE220" s="31"/>
      <c r="VFF220" s="19"/>
      <c r="VFG220" s="67"/>
      <c r="VFH220" s="67"/>
      <c r="VFI220" s="31"/>
      <c r="VFJ220" s="19"/>
      <c r="VFK220" s="67"/>
      <c r="VFL220" s="67"/>
      <c r="VFM220" s="31"/>
      <c r="VFN220" s="19"/>
      <c r="VFO220" s="67"/>
      <c r="VFP220" s="67"/>
      <c r="VFQ220" s="31"/>
      <c r="VFR220" s="19"/>
      <c r="VFS220" s="67"/>
      <c r="VFT220" s="67"/>
      <c r="VFU220" s="31"/>
      <c r="VFV220" s="19"/>
      <c r="VFW220" s="67"/>
      <c r="VFX220" s="67"/>
      <c r="VFY220" s="31"/>
      <c r="VFZ220" s="19"/>
      <c r="VGA220" s="67"/>
      <c r="VGB220" s="67"/>
      <c r="VGC220" s="31"/>
      <c r="VGD220" s="19"/>
      <c r="VGE220" s="67"/>
      <c r="VGF220" s="67"/>
      <c r="VGG220" s="31"/>
      <c r="VGH220" s="19"/>
      <c r="VGI220" s="67"/>
      <c r="VGJ220" s="67"/>
      <c r="VGK220" s="31"/>
      <c r="VGL220" s="19"/>
      <c r="VGM220" s="67"/>
      <c r="VGN220" s="67"/>
      <c r="VGO220" s="31"/>
      <c r="VGP220" s="19"/>
      <c r="VGQ220" s="67"/>
      <c r="VGR220" s="67"/>
      <c r="VGS220" s="31"/>
      <c r="VGT220" s="19"/>
      <c r="VGU220" s="67"/>
      <c r="VGV220" s="67"/>
      <c r="VGW220" s="31"/>
      <c r="VGX220" s="19"/>
      <c r="VGY220" s="67"/>
      <c r="VGZ220" s="67"/>
      <c r="VHA220" s="31"/>
      <c r="VHB220" s="19"/>
      <c r="VHC220" s="67"/>
      <c r="VHD220" s="67"/>
      <c r="VHE220" s="31"/>
      <c r="VHF220" s="19"/>
      <c r="VHG220" s="67"/>
      <c r="VHH220" s="67"/>
      <c r="VHI220" s="31"/>
      <c r="VHJ220" s="19"/>
      <c r="VHK220" s="67"/>
      <c r="VHL220" s="67"/>
      <c r="VHM220" s="31"/>
      <c r="VHN220" s="19"/>
      <c r="VHO220" s="67"/>
      <c r="VHP220" s="67"/>
      <c r="VHQ220" s="31"/>
      <c r="VHR220" s="19"/>
      <c r="VHS220" s="67"/>
      <c r="VHT220" s="67"/>
      <c r="VHU220" s="31"/>
      <c r="VHV220" s="19"/>
      <c r="VHW220" s="67"/>
      <c r="VHX220" s="67"/>
      <c r="VHY220" s="31"/>
      <c r="VHZ220" s="19"/>
      <c r="VIA220" s="67"/>
      <c r="VIB220" s="67"/>
      <c r="VIC220" s="31"/>
      <c r="VID220" s="19"/>
      <c r="VIE220" s="67"/>
      <c r="VIF220" s="67"/>
      <c r="VIG220" s="31"/>
      <c r="VIH220" s="19"/>
      <c r="VII220" s="67"/>
      <c r="VIJ220" s="67"/>
      <c r="VIK220" s="31"/>
      <c r="VIL220" s="19"/>
      <c r="VIM220" s="67"/>
      <c r="VIN220" s="67"/>
      <c r="VIO220" s="31"/>
      <c r="VIP220" s="19"/>
      <c r="VIQ220" s="67"/>
      <c r="VIR220" s="67"/>
      <c r="VIS220" s="31"/>
      <c r="VIT220" s="19"/>
      <c r="VIU220" s="67"/>
      <c r="VIV220" s="67"/>
      <c r="VIW220" s="31"/>
      <c r="VIX220" s="19"/>
      <c r="VIY220" s="67"/>
      <c r="VIZ220" s="67"/>
      <c r="VJA220" s="31"/>
      <c r="VJB220" s="19"/>
      <c r="VJC220" s="67"/>
      <c r="VJD220" s="67"/>
      <c r="VJE220" s="31"/>
      <c r="VJF220" s="19"/>
      <c r="VJG220" s="67"/>
      <c r="VJH220" s="67"/>
      <c r="VJI220" s="31"/>
      <c r="VJJ220" s="19"/>
      <c r="VJK220" s="67"/>
      <c r="VJL220" s="67"/>
      <c r="VJM220" s="31"/>
      <c r="VJN220" s="19"/>
      <c r="VJO220" s="67"/>
      <c r="VJP220" s="67"/>
      <c r="VJQ220" s="31"/>
      <c r="VJR220" s="19"/>
      <c r="VJS220" s="67"/>
      <c r="VJT220" s="67"/>
      <c r="VJU220" s="31"/>
      <c r="VJV220" s="19"/>
      <c r="VJW220" s="67"/>
      <c r="VJX220" s="67"/>
      <c r="VJY220" s="31"/>
      <c r="VJZ220" s="19"/>
      <c r="VKA220" s="67"/>
      <c r="VKB220" s="67"/>
      <c r="VKC220" s="31"/>
      <c r="VKD220" s="19"/>
      <c r="VKE220" s="67"/>
      <c r="VKF220" s="67"/>
      <c r="VKG220" s="31"/>
      <c r="VKH220" s="19"/>
      <c r="VKI220" s="67"/>
      <c r="VKJ220" s="67"/>
      <c r="VKK220" s="31"/>
      <c r="VKL220" s="19"/>
      <c r="VKM220" s="67"/>
      <c r="VKN220" s="67"/>
      <c r="VKO220" s="31"/>
      <c r="VKP220" s="19"/>
      <c r="VKQ220" s="67"/>
      <c r="VKR220" s="67"/>
      <c r="VKS220" s="31"/>
      <c r="VKT220" s="19"/>
      <c r="VKU220" s="67"/>
      <c r="VKV220" s="67"/>
      <c r="VKW220" s="31"/>
      <c r="VKX220" s="19"/>
      <c r="VKY220" s="67"/>
      <c r="VKZ220" s="67"/>
      <c r="VLA220" s="31"/>
      <c r="VLB220" s="19"/>
      <c r="VLC220" s="67"/>
      <c r="VLD220" s="67"/>
      <c r="VLE220" s="31"/>
      <c r="VLF220" s="19"/>
      <c r="VLG220" s="67"/>
      <c r="VLH220" s="67"/>
      <c r="VLI220" s="31"/>
      <c r="VLJ220" s="19"/>
      <c r="VLK220" s="67"/>
      <c r="VLL220" s="67"/>
      <c r="VLM220" s="31"/>
      <c r="VLN220" s="19"/>
      <c r="VLO220" s="67"/>
      <c r="VLP220" s="67"/>
      <c r="VLQ220" s="31"/>
      <c r="VLR220" s="19"/>
      <c r="VLS220" s="67"/>
      <c r="VLT220" s="67"/>
      <c r="VLU220" s="31"/>
      <c r="VLV220" s="19"/>
      <c r="VLW220" s="67"/>
      <c r="VLX220" s="67"/>
      <c r="VLY220" s="31"/>
      <c r="VLZ220" s="19"/>
      <c r="VMA220" s="67"/>
      <c r="VMB220" s="67"/>
      <c r="VMC220" s="31"/>
      <c r="VMD220" s="19"/>
      <c r="VME220" s="67"/>
      <c r="VMF220" s="67"/>
      <c r="VMG220" s="31"/>
      <c r="VMH220" s="19"/>
      <c r="VMI220" s="67"/>
      <c r="VMJ220" s="67"/>
      <c r="VMK220" s="31"/>
      <c r="VML220" s="19"/>
      <c r="VMM220" s="67"/>
      <c r="VMN220" s="67"/>
      <c r="VMO220" s="31"/>
      <c r="VMP220" s="19"/>
      <c r="VMQ220" s="67"/>
      <c r="VMR220" s="67"/>
      <c r="VMS220" s="31"/>
      <c r="VMT220" s="19"/>
      <c r="VMU220" s="67"/>
      <c r="VMV220" s="67"/>
      <c r="VMW220" s="31"/>
      <c r="VMX220" s="19"/>
      <c r="VMY220" s="67"/>
      <c r="VMZ220" s="67"/>
      <c r="VNA220" s="31"/>
      <c r="VNB220" s="19"/>
      <c r="VNC220" s="67"/>
      <c r="VND220" s="67"/>
      <c r="VNE220" s="31"/>
      <c r="VNF220" s="19"/>
      <c r="VNG220" s="67"/>
      <c r="VNH220" s="67"/>
      <c r="VNI220" s="31"/>
      <c r="VNJ220" s="19"/>
      <c r="VNK220" s="67"/>
      <c r="VNL220" s="67"/>
      <c r="VNM220" s="31"/>
      <c r="VNN220" s="19"/>
      <c r="VNO220" s="67"/>
      <c r="VNP220" s="67"/>
      <c r="VNQ220" s="31"/>
      <c r="VNR220" s="19"/>
      <c r="VNS220" s="67"/>
      <c r="VNT220" s="67"/>
      <c r="VNU220" s="31"/>
      <c r="VNV220" s="19"/>
      <c r="VNW220" s="67"/>
      <c r="VNX220" s="67"/>
      <c r="VNY220" s="31"/>
      <c r="VNZ220" s="19"/>
      <c r="VOA220" s="67"/>
      <c r="VOB220" s="67"/>
      <c r="VOC220" s="31"/>
      <c r="VOD220" s="19"/>
      <c r="VOE220" s="67"/>
      <c r="VOF220" s="67"/>
      <c r="VOG220" s="31"/>
      <c r="VOH220" s="19"/>
      <c r="VOI220" s="67"/>
      <c r="VOJ220" s="67"/>
      <c r="VOK220" s="31"/>
      <c r="VOL220" s="19"/>
      <c r="VOM220" s="67"/>
      <c r="VON220" s="67"/>
      <c r="VOO220" s="31"/>
      <c r="VOP220" s="19"/>
      <c r="VOQ220" s="67"/>
      <c r="VOR220" s="67"/>
      <c r="VOS220" s="31"/>
      <c r="VOT220" s="19"/>
      <c r="VOU220" s="67"/>
      <c r="VOV220" s="67"/>
      <c r="VOW220" s="31"/>
      <c r="VOX220" s="19"/>
      <c r="VOY220" s="67"/>
      <c r="VOZ220" s="67"/>
      <c r="VPA220" s="31"/>
      <c r="VPB220" s="19"/>
      <c r="VPC220" s="67"/>
      <c r="VPD220" s="67"/>
      <c r="VPE220" s="31"/>
      <c r="VPF220" s="19"/>
      <c r="VPG220" s="67"/>
      <c r="VPH220" s="67"/>
      <c r="VPI220" s="31"/>
      <c r="VPJ220" s="19"/>
      <c r="VPK220" s="67"/>
      <c r="VPL220" s="67"/>
      <c r="VPM220" s="31"/>
      <c r="VPN220" s="19"/>
      <c r="VPO220" s="67"/>
      <c r="VPP220" s="67"/>
      <c r="VPQ220" s="31"/>
      <c r="VPR220" s="19"/>
      <c r="VPS220" s="67"/>
      <c r="VPT220" s="67"/>
      <c r="VPU220" s="31"/>
      <c r="VPV220" s="19"/>
      <c r="VPW220" s="67"/>
      <c r="VPX220" s="67"/>
      <c r="VPY220" s="31"/>
      <c r="VPZ220" s="19"/>
      <c r="VQA220" s="67"/>
      <c r="VQB220" s="67"/>
      <c r="VQC220" s="31"/>
      <c r="VQD220" s="19"/>
      <c r="VQE220" s="67"/>
      <c r="VQF220" s="67"/>
      <c r="VQG220" s="31"/>
      <c r="VQH220" s="19"/>
      <c r="VQI220" s="67"/>
      <c r="VQJ220" s="67"/>
      <c r="VQK220" s="31"/>
      <c r="VQL220" s="19"/>
      <c r="VQM220" s="67"/>
      <c r="VQN220" s="67"/>
      <c r="VQO220" s="31"/>
      <c r="VQP220" s="19"/>
      <c r="VQQ220" s="67"/>
      <c r="VQR220" s="67"/>
      <c r="VQS220" s="31"/>
      <c r="VQT220" s="19"/>
      <c r="VQU220" s="67"/>
      <c r="VQV220" s="67"/>
      <c r="VQW220" s="31"/>
      <c r="VQX220" s="19"/>
      <c r="VQY220" s="67"/>
      <c r="VQZ220" s="67"/>
      <c r="VRA220" s="31"/>
      <c r="VRB220" s="19"/>
      <c r="VRC220" s="67"/>
      <c r="VRD220" s="67"/>
      <c r="VRE220" s="31"/>
      <c r="VRF220" s="19"/>
      <c r="VRG220" s="67"/>
      <c r="VRH220" s="67"/>
      <c r="VRI220" s="31"/>
      <c r="VRJ220" s="19"/>
      <c r="VRK220" s="67"/>
      <c r="VRL220" s="67"/>
      <c r="VRM220" s="31"/>
      <c r="VRN220" s="19"/>
      <c r="VRO220" s="67"/>
      <c r="VRP220" s="67"/>
      <c r="VRQ220" s="31"/>
      <c r="VRR220" s="19"/>
      <c r="VRS220" s="67"/>
      <c r="VRT220" s="67"/>
      <c r="VRU220" s="31"/>
      <c r="VRV220" s="19"/>
      <c r="VRW220" s="67"/>
      <c r="VRX220" s="67"/>
      <c r="VRY220" s="31"/>
      <c r="VRZ220" s="19"/>
      <c r="VSA220" s="67"/>
      <c r="VSB220" s="67"/>
      <c r="VSC220" s="31"/>
      <c r="VSD220" s="19"/>
      <c r="VSE220" s="67"/>
      <c r="VSF220" s="67"/>
      <c r="VSG220" s="31"/>
      <c r="VSH220" s="19"/>
      <c r="VSI220" s="67"/>
      <c r="VSJ220" s="67"/>
      <c r="VSK220" s="31"/>
      <c r="VSL220" s="19"/>
      <c r="VSM220" s="67"/>
      <c r="VSN220" s="67"/>
      <c r="VSO220" s="31"/>
      <c r="VSP220" s="19"/>
      <c r="VSQ220" s="67"/>
      <c r="VSR220" s="67"/>
      <c r="VSS220" s="31"/>
      <c r="VST220" s="19"/>
      <c r="VSU220" s="67"/>
      <c r="VSV220" s="67"/>
      <c r="VSW220" s="31"/>
      <c r="VSX220" s="19"/>
      <c r="VSY220" s="67"/>
      <c r="VSZ220" s="67"/>
      <c r="VTA220" s="31"/>
      <c r="VTB220" s="19"/>
      <c r="VTC220" s="67"/>
      <c r="VTD220" s="67"/>
      <c r="VTE220" s="31"/>
      <c r="VTF220" s="19"/>
      <c r="VTG220" s="67"/>
      <c r="VTH220" s="67"/>
      <c r="VTI220" s="31"/>
      <c r="VTJ220" s="19"/>
      <c r="VTK220" s="67"/>
      <c r="VTL220" s="67"/>
      <c r="VTM220" s="31"/>
      <c r="VTN220" s="19"/>
      <c r="VTO220" s="67"/>
      <c r="VTP220" s="67"/>
      <c r="VTQ220" s="31"/>
      <c r="VTR220" s="19"/>
      <c r="VTS220" s="67"/>
      <c r="VTT220" s="67"/>
      <c r="VTU220" s="31"/>
      <c r="VTV220" s="19"/>
      <c r="VTW220" s="67"/>
      <c r="VTX220" s="67"/>
      <c r="VTY220" s="31"/>
      <c r="VTZ220" s="19"/>
      <c r="VUA220" s="67"/>
      <c r="VUB220" s="67"/>
      <c r="VUC220" s="31"/>
      <c r="VUD220" s="19"/>
      <c r="VUE220" s="67"/>
      <c r="VUF220" s="67"/>
      <c r="VUG220" s="31"/>
      <c r="VUH220" s="19"/>
      <c r="VUI220" s="67"/>
      <c r="VUJ220" s="67"/>
      <c r="VUK220" s="31"/>
      <c r="VUL220" s="19"/>
      <c r="VUM220" s="67"/>
      <c r="VUN220" s="67"/>
      <c r="VUO220" s="31"/>
      <c r="VUP220" s="19"/>
      <c r="VUQ220" s="67"/>
      <c r="VUR220" s="67"/>
      <c r="VUS220" s="31"/>
      <c r="VUT220" s="19"/>
      <c r="VUU220" s="67"/>
      <c r="VUV220" s="67"/>
      <c r="VUW220" s="31"/>
      <c r="VUX220" s="19"/>
      <c r="VUY220" s="67"/>
      <c r="VUZ220" s="67"/>
      <c r="VVA220" s="31"/>
      <c r="VVB220" s="19"/>
      <c r="VVC220" s="67"/>
      <c r="VVD220" s="67"/>
      <c r="VVE220" s="31"/>
      <c r="VVF220" s="19"/>
      <c r="VVG220" s="67"/>
      <c r="VVH220" s="67"/>
      <c r="VVI220" s="31"/>
      <c r="VVJ220" s="19"/>
      <c r="VVK220" s="67"/>
      <c r="VVL220" s="67"/>
      <c r="VVM220" s="31"/>
      <c r="VVN220" s="19"/>
      <c r="VVO220" s="67"/>
      <c r="VVP220" s="67"/>
      <c r="VVQ220" s="31"/>
      <c r="VVR220" s="19"/>
      <c r="VVS220" s="67"/>
      <c r="VVT220" s="67"/>
      <c r="VVU220" s="31"/>
      <c r="VVV220" s="19"/>
      <c r="VVW220" s="67"/>
      <c r="VVX220" s="67"/>
      <c r="VVY220" s="31"/>
      <c r="VVZ220" s="19"/>
      <c r="VWA220" s="67"/>
      <c r="VWB220" s="67"/>
      <c r="VWC220" s="31"/>
      <c r="VWD220" s="19"/>
      <c r="VWE220" s="67"/>
      <c r="VWF220" s="67"/>
      <c r="VWG220" s="31"/>
      <c r="VWH220" s="19"/>
      <c r="VWI220" s="67"/>
      <c r="VWJ220" s="67"/>
      <c r="VWK220" s="31"/>
      <c r="VWL220" s="19"/>
      <c r="VWM220" s="67"/>
      <c r="VWN220" s="67"/>
      <c r="VWO220" s="31"/>
      <c r="VWP220" s="19"/>
      <c r="VWQ220" s="67"/>
      <c r="VWR220" s="67"/>
      <c r="VWS220" s="31"/>
      <c r="VWT220" s="19"/>
      <c r="VWU220" s="67"/>
      <c r="VWV220" s="67"/>
      <c r="VWW220" s="31"/>
      <c r="VWX220" s="19"/>
      <c r="VWY220" s="67"/>
      <c r="VWZ220" s="67"/>
      <c r="VXA220" s="31"/>
      <c r="VXB220" s="19"/>
      <c r="VXC220" s="67"/>
      <c r="VXD220" s="67"/>
      <c r="VXE220" s="31"/>
      <c r="VXF220" s="19"/>
      <c r="VXG220" s="67"/>
      <c r="VXH220" s="67"/>
      <c r="VXI220" s="31"/>
      <c r="VXJ220" s="19"/>
      <c r="VXK220" s="67"/>
      <c r="VXL220" s="67"/>
      <c r="VXM220" s="31"/>
      <c r="VXN220" s="19"/>
      <c r="VXO220" s="67"/>
      <c r="VXP220" s="67"/>
      <c r="VXQ220" s="31"/>
      <c r="VXR220" s="19"/>
      <c r="VXS220" s="67"/>
      <c r="VXT220" s="67"/>
      <c r="VXU220" s="31"/>
      <c r="VXV220" s="19"/>
      <c r="VXW220" s="67"/>
      <c r="VXX220" s="67"/>
      <c r="VXY220" s="31"/>
      <c r="VXZ220" s="19"/>
      <c r="VYA220" s="67"/>
      <c r="VYB220" s="67"/>
      <c r="VYC220" s="31"/>
      <c r="VYD220" s="19"/>
      <c r="VYE220" s="67"/>
      <c r="VYF220" s="67"/>
      <c r="VYG220" s="31"/>
      <c r="VYH220" s="19"/>
      <c r="VYI220" s="67"/>
      <c r="VYJ220" s="67"/>
      <c r="VYK220" s="31"/>
      <c r="VYL220" s="19"/>
      <c r="VYM220" s="67"/>
      <c r="VYN220" s="67"/>
      <c r="VYO220" s="31"/>
      <c r="VYP220" s="19"/>
      <c r="VYQ220" s="67"/>
      <c r="VYR220" s="67"/>
      <c r="VYS220" s="31"/>
      <c r="VYT220" s="19"/>
      <c r="VYU220" s="67"/>
      <c r="VYV220" s="67"/>
      <c r="VYW220" s="31"/>
      <c r="VYX220" s="19"/>
      <c r="VYY220" s="67"/>
      <c r="VYZ220" s="67"/>
      <c r="VZA220" s="31"/>
      <c r="VZB220" s="19"/>
      <c r="VZC220" s="67"/>
      <c r="VZD220" s="67"/>
      <c r="VZE220" s="31"/>
      <c r="VZF220" s="19"/>
      <c r="VZG220" s="67"/>
      <c r="VZH220" s="67"/>
      <c r="VZI220" s="31"/>
      <c r="VZJ220" s="19"/>
      <c r="VZK220" s="67"/>
      <c r="VZL220" s="67"/>
      <c r="VZM220" s="31"/>
      <c r="VZN220" s="19"/>
      <c r="VZO220" s="67"/>
      <c r="VZP220" s="67"/>
      <c r="VZQ220" s="31"/>
      <c r="VZR220" s="19"/>
      <c r="VZS220" s="67"/>
      <c r="VZT220" s="67"/>
      <c r="VZU220" s="31"/>
      <c r="VZV220" s="19"/>
      <c r="VZW220" s="67"/>
      <c r="VZX220" s="67"/>
      <c r="VZY220" s="31"/>
      <c r="VZZ220" s="19"/>
      <c r="WAA220" s="67"/>
      <c r="WAB220" s="67"/>
      <c r="WAC220" s="31"/>
      <c r="WAD220" s="19"/>
      <c r="WAE220" s="67"/>
      <c r="WAF220" s="67"/>
      <c r="WAG220" s="31"/>
      <c r="WAH220" s="19"/>
      <c r="WAI220" s="67"/>
      <c r="WAJ220" s="67"/>
      <c r="WAK220" s="31"/>
      <c r="WAL220" s="19"/>
      <c r="WAM220" s="67"/>
      <c r="WAN220" s="67"/>
      <c r="WAO220" s="31"/>
      <c r="WAP220" s="19"/>
      <c r="WAQ220" s="67"/>
      <c r="WAR220" s="67"/>
      <c r="WAS220" s="31"/>
      <c r="WAT220" s="19"/>
      <c r="WAU220" s="67"/>
      <c r="WAV220" s="67"/>
      <c r="WAW220" s="31"/>
      <c r="WAX220" s="19"/>
      <c r="WAY220" s="67"/>
      <c r="WAZ220" s="67"/>
      <c r="WBA220" s="31"/>
      <c r="WBB220" s="19"/>
      <c r="WBC220" s="67"/>
      <c r="WBD220" s="67"/>
      <c r="WBE220" s="31"/>
      <c r="WBF220" s="19"/>
      <c r="WBG220" s="67"/>
      <c r="WBH220" s="67"/>
      <c r="WBI220" s="31"/>
      <c r="WBJ220" s="19"/>
      <c r="WBK220" s="67"/>
      <c r="WBL220" s="67"/>
      <c r="WBM220" s="31"/>
      <c r="WBN220" s="19"/>
      <c r="WBO220" s="67"/>
      <c r="WBP220" s="67"/>
      <c r="WBQ220" s="31"/>
      <c r="WBR220" s="19"/>
      <c r="WBS220" s="67"/>
      <c r="WBT220" s="67"/>
      <c r="WBU220" s="31"/>
      <c r="WBV220" s="19"/>
      <c r="WBW220" s="67"/>
      <c r="WBX220" s="67"/>
      <c r="WBY220" s="31"/>
      <c r="WBZ220" s="19"/>
      <c r="WCA220" s="67"/>
      <c r="WCB220" s="67"/>
      <c r="WCC220" s="31"/>
      <c r="WCD220" s="19"/>
      <c r="WCE220" s="67"/>
      <c r="WCF220" s="67"/>
      <c r="WCG220" s="31"/>
      <c r="WCH220" s="19"/>
      <c r="WCI220" s="67"/>
      <c r="WCJ220" s="67"/>
      <c r="WCK220" s="31"/>
      <c r="WCL220" s="19"/>
      <c r="WCM220" s="67"/>
      <c r="WCN220" s="67"/>
      <c r="WCO220" s="31"/>
      <c r="WCP220" s="19"/>
      <c r="WCQ220" s="67"/>
      <c r="WCR220" s="67"/>
      <c r="WCS220" s="31"/>
      <c r="WCT220" s="19"/>
      <c r="WCU220" s="67"/>
      <c r="WCV220" s="67"/>
      <c r="WCW220" s="31"/>
      <c r="WCX220" s="19"/>
      <c r="WCY220" s="67"/>
      <c r="WCZ220" s="67"/>
      <c r="WDA220" s="31"/>
      <c r="WDB220" s="19"/>
      <c r="WDC220" s="67"/>
      <c r="WDD220" s="67"/>
      <c r="WDE220" s="31"/>
      <c r="WDF220" s="19"/>
      <c r="WDG220" s="67"/>
      <c r="WDH220" s="67"/>
      <c r="WDI220" s="31"/>
      <c r="WDJ220" s="19"/>
      <c r="WDK220" s="67"/>
      <c r="WDL220" s="67"/>
      <c r="WDM220" s="31"/>
      <c r="WDN220" s="19"/>
      <c r="WDO220" s="67"/>
      <c r="WDP220" s="67"/>
      <c r="WDQ220" s="31"/>
      <c r="WDR220" s="19"/>
      <c r="WDS220" s="67"/>
      <c r="WDT220" s="67"/>
      <c r="WDU220" s="31"/>
      <c r="WDV220" s="19"/>
      <c r="WDW220" s="67"/>
      <c r="WDX220" s="67"/>
      <c r="WDY220" s="31"/>
      <c r="WDZ220" s="19"/>
      <c r="WEA220" s="67"/>
      <c r="WEB220" s="67"/>
      <c r="WEC220" s="31"/>
      <c r="WED220" s="19"/>
      <c r="WEE220" s="67"/>
      <c r="WEF220" s="67"/>
      <c r="WEG220" s="31"/>
      <c r="WEH220" s="19"/>
      <c r="WEI220" s="67"/>
      <c r="WEJ220" s="67"/>
      <c r="WEK220" s="31"/>
      <c r="WEL220" s="19"/>
      <c r="WEM220" s="67"/>
      <c r="WEN220" s="67"/>
      <c r="WEO220" s="31"/>
      <c r="WEP220" s="19"/>
      <c r="WEQ220" s="67"/>
      <c r="WER220" s="67"/>
      <c r="WES220" s="31"/>
      <c r="WET220" s="19"/>
      <c r="WEU220" s="67"/>
      <c r="WEV220" s="67"/>
      <c r="WEW220" s="31"/>
      <c r="WEX220" s="19"/>
      <c r="WEY220" s="67"/>
      <c r="WEZ220" s="67"/>
      <c r="WFA220" s="31"/>
      <c r="WFB220" s="19"/>
      <c r="WFC220" s="67"/>
      <c r="WFD220" s="67"/>
      <c r="WFE220" s="31"/>
      <c r="WFF220" s="19"/>
      <c r="WFG220" s="67"/>
      <c r="WFH220" s="67"/>
      <c r="WFI220" s="31"/>
      <c r="WFJ220" s="19"/>
      <c r="WFK220" s="67"/>
      <c r="WFL220" s="67"/>
      <c r="WFM220" s="31"/>
      <c r="WFN220" s="19"/>
      <c r="WFO220" s="67"/>
      <c r="WFP220" s="67"/>
      <c r="WFQ220" s="31"/>
      <c r="WFR220" s="19"/>
      <c r="WFS220" s="67"/>
      <c r="WFT220" s="67"/>
      <c r="WFU220" s="31"/>
      <c r="WFV220" s="19"/>
      <c r="WFW220" s="67"/>
      <c r="WFX220" s="67"/>
      <c r="WFY220" s="31"/>
      <c r="WFZ220" s="19"/>
      <c r="WGA220" s="67"/>
      <c r="WGB220" s="67"/>
      <c r="WGC220" s="31"/>
      <c r="WGD220" s="19"/>
      <c r="WGE220" s="67"/>
      <c r="WGF220" s="67"/>
      <c r="WGG220" s="31"/>
      <c r="WGH220" s="19"/>
      <c r="WGI220" s="67"/>
      <c r="WGJ220" s="67"/>
      <c r="WGK220" s="31"/>
      <c r="WGL220" s="19"/>
      <c r="WGM220" s="67"/>
      <c r="WGN220" s="67"/>
      <c r="WGO220" s="31"/>
      <c r="WGP220" s="19"/>
      <c r="WGQ220" s="67"/>
      <c r="WGR220" s="67"/>
      <c r="WGS220" s="31"/>
      <c r="WGT220" s="19"/>
      <c r="WGU220" s="67"/>
      <c r="WGV220" s="67"/>
      <c r="WGW220" s="31"/>
      <c r="WGX220" s="19"/>
      <c r="WGY220" s="67"/>
      <c r="WGZ220" s="67"/>
      <c r="WHA220" s="31"/>
      <c r="WHB220" s="19"/>
      <c r="WHC220" s="67"/>
      <c r="WHD220" s="67"/>
      <c r="WHE220" s="31"/>
      <c r="WHF220" s="19"/>
      <c r="WHG220" s="67"/>
      <c r="WHH220" s="67"/>
      <c r="WHI220" s="31"/>
      <c r="WHJ220" s="19"/>
      <c r="WHK220" s="67"/>
      <c r="WHL220" s="67"/>
      <c r="WHM220" s="31"/>
      <c r="WHN220" s="19"/>
      <c r="WHO220" s="67"/>
      <c r="WHP220" s="67"/>
      <c r="WHQ220" s="31"/>
      <c r="WHR220" s="19"/>
      <c r="WHS220" s="67"/>
      <c r="WHT220" s="67"/>
      <c r="WHU220" s="31"/>
      <c r="WHV220" s="19"/>
      <c r="WHW220" s="67"/>
      <c r="WHX220" s="67"/>
      <c r="WHY220" s="31"/>
      <c r="WHZ220" s="19"/>
      <c r="WIA220" s="67"/>
      <c r="WIB220" s="67"/>
      <c r="WIC220" s="31"/>
      <c r="WID220" s="19"/>
      <c r="WIE220" s="67"/>
      <c r="WIF220" s="67"/>
      <c r="WIG220" s="31"/>
      <c r="WIH220" s="19"/>
      <c r="WII220" s="67"/>
      <c r="WIJ220" s="67"/>
      <c r="WIK220" s="31"/>
      <c r="WIL220" s="19"/>
      <c r="WIM220" s="67"/>
      <c r="WIN220" s="67"/>
      <c r="WIO220" s="31"/>
      <c r="WIP220" s="19"/>
      <c r="WIQ220" s="67"/>
      <c r="WIR220" s="67"/>
      <c r="WIS220" s="31"/>
      <c r="WIT220" s="19"/>
      <c r="WIU220" s="67"/>
      <c r="WIV220" s="67"/>
      <c r="WIW220" s="31"/>
      <c r="WIX220" s="19"/>
      <c r="WIY220" s="67"/>
      <c r="WIZ220" s="67"/>
      <c r="WJA220" s="31"/>
      <c r="WJB220" s="19"/>
      <c r="WJC220" s="67"/>
      <c r="WJD220" s="67"/>
      <c r="WJE220" s="31"/>
      <c r="WJF220" s="19"/>
      <c r="WJG220" s="67"/>
      <c r="WJH220" s="67"/>
      <c r="WJI220" s="31"/>
      <c r="WJJ220" s="19"/>
      <c r="WJK220" s="67"/>
      <c r="WJL220" s="67"/>
      <c r="WJM220" s="31"/>
      <c r="WJN220" s="19"/>
      <c r="WJO220" s="67"/>
      <c r="WJP220" s="67"/>
      <c r="WJQ220" s="31"/>
      <c r="WJR220" s="19"/>
      <c r="WJS220" s="67"/>
      <c r="WJT220" s="67"/>
      <c r="WJU220" s="31"/>
      <c r="WJV220" s="19"/>
      <c r="WJW220" s="67"/>
      <c r="WJX220" s="67"/>
      <c r="WJY220" s="31"/>
      <c r="WJZ220" s="19"/>
      <c r="WKA220" s="67"/>
      <c r="WKB220" s="67"/>
      <c r="WKC220" s="31"/>
      <c r="WKD220" s="19"/>
      <c r="WKE220" s="67"/>
      <c r="WKF220" s="67"/>
      <c r="WKG220" s="31"/>
      <c r="WKH220" s="19"/>
      <c r="WKI220" s="67"/>
      <c r="WKJ220" s="67"/>
      <c r="WKK220" s="31"/>
      <c r="WKL220" s="19"/>
      <c r="WKM220" s="67"/>
      <c r="WKN220" s="67"/>
      <c r="WKO220" s="31"/>
      <c r="WKP220" s="19"/>
      <c r="WKQ220" s="67"/>
      <c r="WKR220" s="67"/>
      <c r="WKS220" s="31"/>
      <c r="WKT220" s="19"/>
      <c r="WKU220" s="67"/>
      <c r="WKV220" s="67"/>
      <c r="WKW220" s="31"/>
      <c r="WKX220" s="19"/>
      <c r="WKY220" s="67"/>
      <c r="WKZ220" s="67"/>
      <c r="WLA220" s="31"/>
      <c r="WLB220" s="19"/>
      <c r="WLC220" s="67"/>
      <c r="WLD220" s="67"/>
      <c r="WLE220" s="31"/>
      <c r="WLF220" s="19"/>
      <c r="WLG220" s="67"/>
      <c r="WLH220" s="67"/>
      <c r="WLI220" s="31"/>
      <c r="WLJ220" s="19"/>
      <c r="WLK220" s="67"/>
      <c r="WLL220" s="67"/>
      <c r="WLM220" s="31"/>
      <c r="WLN220" s="19"/>
      <c r="WLO220" s="67"/>
      <c r="WLP220" s="67"/>
      <c r="WLQ220" s="31"/>
      <c r="WLR220" s="19"/>
      <c r="WLS220" s="67"/>
      <c r="WLT220" s="67"/>
      <c r="WLU220" s="31"/>
      <c r="WLV220" s="19"/>
      <c r="WLW220" s="67"/>
      <c r="WLX220" s="67"/>
      <c r="WLY220" s="31"/>
      <c r="WLZ220" s="19"/>
      <c r="WMA220" s="67"/>
      <c r="WMB220" s="67"/>
      <c r="WMC220" s="31"/>
      <c r="WMD220" s="19"/>
      <c r="WME220" s="67"/>
      <c r="WMF220" s="67"/>
      <c r="WMG220" s="31"/>
      <c r="WMH220" s="19"/>
      <c r="WMI220" s="67"/>
      <c r="WMJ220" s="67"/>
      <c r="WMK220" s="31"/>
      <c r="WML220" s="19"/>
      <c r="WMM220" s="67"/>
      <c r="WMN220" s="67"/>
      <c r="WMO220" s="31"/>
      <c r="WMP220" s="19"/>
      <c r="WMQ220" s="67"/>
      <c r="WMR220" s="67"/>
      <c r="WMS220" s="31"/>
      <c r="WMT220" s="19"/>
      <c r="WMU220" s="67"/>
      <c r="WMV220" s="67"/>
      <c r="WMW220" s="31"/>
      <c r="WMX220" s="19"/>
      <c r="WMY220" s="67"/>
      <c r="WMZ220" s="67"/>
      <c r="WNA220" s="31"/>
      <c r="WNB220" s="19"/>
      <c r="WNC220" s="67"/>
      <c r="WND220" s="67"/>
      <c r="WNE220" s="31"/>
      <c r="WNF220" s="19"/>
      <c r="WNG220" s="67"/>
      <c r="WNH220" s="67"/>
      <c r="WNI220" s="31"/>
      <c r="WNJ220" s="19"/>
      <c r="WNK220" s="67"/>
      <c r="WNL220" s="67"/>
      <c r="WNM220" s="31"/>
      <c r="WNN220" s="19"/>
      <c r="WNO220" s="67"/>
      <c r="WNP220" s="67"/>
      <c r="WNQ220" s="31"/>
      <c r="WNR220" s="19"/>
      <c r="WNS220" s="67"/>
      <c r="WNT220" s="67"/>
      <c r="WNU220" s="31"/>
      <c r="WNV220" s="19"/>
      <c r="WNW220" s="67"/>
      <c r="WNX220" s="67"/>
      <c r="WNY220" s="31"/>
      <c r="WNZ220" s="19"/>
      <c r="WOA220" s="67"/>
      <c r="WOB220" s="67"/>
      <c r="WOC220" s="31"/>
      <c r="WOD220" s="19"/>
      <c r="WOE220" s="67"/>
      <c r="WOF220" s="67"/>
      <c r="WOG220" s="31"/>
      <c r="WOH220" s="19"/>
      <c r="WOI220" s="67"/>
      <c r="WOJ220" s="67"/>
      <c r="WOK220" s="31"/>
      <c r="WOL220" s="19"/>
      <c r="WOM220" s="67"/>
      <c r="WON220" s="67"/>
      <c r="WOO220" s="31"/>
      <c r="WOP220" s="19"/>
      <c r="WOQ220" s="67"/>
      <c r="WOR220" s="67"/>
      <c r="WOS220" s="31"/>
      <c r="WOT220" s="19"/>
      <c r="WOU220" s="67"/>
      <c r="WOV220" s="67"/>
      <c r="WOW220" s="31"/>
      <c r="WOX220" s="19"/>
      <c r="WOY220" s="67"/>
      <c r="WOZ220" s="67"/>
      <c r="WPA220" s="31"/>
      <c r="WPB220" s="19"/>
      <c r="WPC220" s="67"/>
      <c r="WPD220" s="67"/>
      <c r="WPE220" s="31"/>
      <c r="WPF220" s="19"/>
      <c r="WPG220" s="67"/>
      <c r="WPH220" s="67"/>
      <c r="WPI220" s="31"/>
      <c r="WPJ220" s="19"/>
      <c r="WPK220" s="67"/>
      <c r="WPL220" s="67"/>
      <c r="WPM220" s="31"/>
      <c r="WPN220" s="19"/>
      <c r="WPO220" s="67"/>
      <c r="WPP220" s="67"/>
      <c r="WPQ220" s="31"/>
      <c r="WPR220" s="19"/>
      <c r="WPS220" s="67"/>
      <c r="WPT220" s="67"/>
      <c r="WPU220" s="31"/>
      <c r="WPV220" s="19"/>
      <c r="WPW220" s="67"/>
      <c r="WPX220" s="67"/>
      <c r="WPY220" s="31"/>
      <c r="WPZ220" s="19"/>
      <c r="WQA220" s="67"/>
      <c r="WQB220" s="67"/>
      <c r="WQC220" s="31"/>
      <c r="WQD220" s="19"/>
      <c r="WQE220" s="67"/>
      <c r="WQF220" s="67"/>
      <c r="WQG220" s="31"/>
      <c r="WQH220" s="19"/>
      <c r="WQI220" s="67"/>
      <c r="WQJ220" s="67"/>
      <c r="WQK220" s="31"/>
      <c r="WQL220" s="19"/>
      <c r="WQM220" s="67"/>
      <c r="WQN220" s="67"/>
      <c r="WQO220" s="31"/>
      <c r="WQP220" s="19"/>
      <c r="WQQ220" s="67"/>
      <c r="WQR220" s="67"/>
      <c r="WQS220" s="31"/>
      <c r="WQT220" s="19"/>
      <c r="WQU220" s="67"/>
      <c r="WQV220" s="67"/>
      <c r="WQW220" s="31"/>
      <c r="WQX220" s="19"/>
      <c r="WQY220" s="67"/>
      <c r="WQZ220" s="67"/>
      <c r="WRA220" s="31"/>
      <c r="WRB220" s="19"/>
      <c r="WRC220" s="67"/>
      <c r="WRD220" s="67"/>
      <c r="WRE220" s="31"/>
      <c r="WRF220" s="19"/>
      <c r="WRG220" s="67"/>
      <c r="WRH220" s="67"/>
      <c r="WRI220" s="31"/>
      <c r="WRJ220" s="19"/>
      <c r="WRK220" s="67"/>
      <c r="WRL220" s="67"/>
      <c r="WRM220" s="31"/>
      <c r="WRN220" s="19"/>
      <c r="WRO220" s="67"/>
      <c r="WRP220" s="67"/>
      <c r="WRQ220" s="31"/>
      <c r="WRR220" s="19"/>
      <c r="WRS220" s="67"/>
      <c r="WRT220" s="67"/>
      <c r="WRU220" s="31"/>
      <c r="WRV220" s="19"/>
      <c r="WRW220" s="67"/>
      <c r="WRX220" s="67"/>
      <c r="WRY220" s="31"/>
      <c r="WRZ220" s="19"/>
      <c r="WSA220" s="67"/>
      <c r="WSB220" s="67"/>
      <c r="WSC220" s="31"/>
      <c r="WSD220" s="19"/>
      <c r="WSE220" s="67"/>
      <c r="WSF220" s="67"/>
      <c r="WSG220" s="31"/>
      <c r="WSH220" s="19"/>
      <c r="WSI220" s="67"/>
      <c r="WSJ220" s="67"/>
      <c r="WSK220" s="31"/>
      <c r="WSL220" s="19"/>
      <c r="WSM220" s="67"/>
      <c r="WSN220" s="67"/>
      <c r="WSO220" s="31"/>
      <c r="WSP220" s="19"/>
      <c r="WSQ220" s="67"/>
      <c r="WSR220" s="67"/>
      <c r="WSS220" s="31"/>
      <c r="WST220" s="19"/>
      <c r="WSU220" s="67"/>
      <c r="WSV220" s="67"/>
      <c r="WSW220" s="31"/>
      <c r="WSX220" s="19"/>
      <c r="WSY220" s="67"/>
      <c r="WSZ220" s="67"/>
      <c r="WTA220" s="31"/>
      <c r="WTB220" s="19"/>
      <c r="WTC220" s="67"/>
      <c r="WTD220" s="67"/>
      <c r="WTE220" s="31"/>
      <c r="WTF220" s="19"/>
      <c r="WTG220" s="67"/>
      <c r="WTH220" s="67"/>
      <c r="WTI220" s="31"/>
      <c r="WTJ220" s="19"/>
      <c r="WTK220" s="67"/>
      <c r="WTL220" s="67"/>
      <c r="WTM220" s="31"/>
      <c r="WTN220" s="19"/>
      <c r="WTO220" s="67"/>
      <c r="WTP220" s="67"/>
      <c r="WTQ220" s="31"/>
      <c r="WTR220" s="19"/>
      <c r="WTS220" s="67"/>
      <c r="WTT220" s="67"/>
      <c r="WTU220" s="31"/>
      <c r="WTV220" s="19"/>
      <c r="WTW220" s="67"/>
      <c r="WTX220" s="67"/>
      <c r="WTY220" s="31"/>
      <c r="WTZ220" s="19"/>
      <c r="WUA220" s="67"/>
      <c r="WUB220" s="67"/>
      <c r="WUC220" s="31"/>
      <c r="WUD220" s="19"/>
      <c r="WUE220" s="67"/>
      <c r="WUF220" s="67"/>
      <c r="WUG220" s="31"/>
      <c r="WUH220" s="19"/>
      <c r="WUI220" s="67"/>
      <c r="WUJ220" s="67"/>
      <c r="WUK220" s="31"/>
      <c r="WUL220" s="19"/>
      <c r="WUM220" s="67"/>
      <c r="WUN220" s="67"/>
      <c r="WUO220" s="31"/>
      <c r="WUP220" s="19"/>
      <c r="WUQ220" s="67"/>
      <c r="WUR220" s="67"/>
      <c r="WUS220" s="31"/>
      <c r="WUT220" s="19"/>
      <c r="WUU220" s="67"/>
      <c r="WUV220" s="67"/>
      <c r="WUW220" s="31"/>
      <c r="WUX220" s="19"/>
      <c r="WUY220" s="67"/>
      <c r="WUZ220" s="67"/>
      <c r="WVA220" s="31"/>
      <c r="WVB220" s="19"/>
      <c r="WVC220" s="67"/>
      <c r="WVD220" s="67"/>
      <c r="WVE220" s="31"/>
      <c r="WVF220" s="19"/>
      <c r="WVG220" s="67"/>
      <c r="WVH220" s="67"/>
      <c r="WVI220" s="31"/>
      <c r="WVJ220" s="19"/>
      <c r="WVK220" s="67"/>
      <c r="WVL220" s="67"/>
      <c r="WVM220" s="31"/>
      <c r="WVN220" s="19"/>
      <c r="WVO220" s="67"/>
      <c r="WVP220" s="67"/>
      <c r="WVQ220" s="31"/>
      <c r="WVR220" s="19"/>
      <c r="WVS220" s="67"/>
      <c r="WVT220" s="67"/>
      <c r="WVU220" s="31"/>
      <c r="WVV220" s="19"/>
      <c r="WVW220" s="67"/>
      <c r="WVX220" s="67"/>
      <c r="WVY220" s="31"/>
      <c r="WVZ220" s="19"/>
      <c r="WWA220" s="67"/>
      <c r="WWB220" s="67"/>
      <c r="WWC220" s="31"/>
      <c r="WWD220" s="19"/>
      <c r="WWE220" s="67"/>
      <c r="WWF220" s="67"/>
      <c r="WWG220" s="31"/>
      <c r="WWH220" s="19"/>
      <c r="WWI220" s="67"/>
      <c r="WWJ220" s="67"/>
      <c r="WWK220" s="31"/>
      <c r="WWL220" s="19"/>
      <c r="WWM220" s="67"/>
      <c r="WWN220" s="67"/>
      <c r="WWO220" s="31"/>
      <c r="WWP220" s="19"/>
      <c r="WWQ220" s="67"/>
      <c r="WWR220" s="67"/>
      <c r="WWS220" s="31"/>
      <c r="WWT220" s="19"/>
      <c r="WWU220" s="67"/>
      <c r="WWV220" s="67"/>
      <c r="WWW220" s="31"/>
      <c r="WWX220" s="19"/>
      <c r="WWY220" s="67"/>
      <c r="WWZ220" s="67"/>
      <c r="WXA220" s="31"/>
      <c r="WXB220" s="19"/>
      <c r="WXC220" s="67"/>
      <c r="WXD220" s="67"/>
      <c r="WXE220" s="31"/>
      <c r="WXF220" s="19"/>
      <c r="WXG220" s="67"/>
      <c r="WXH220" s="67"/>
      <c r="WXI220" s="31"/>
      <c r="WXJ220" s="19"/>
      <c r="WXK220" s="67"/>
      <c r="WXL220" s="67"/>
      <c r="WXM220" s="31"/>
      <c r="WXN220" s="19"/>
      <c r="WXO220" s="67"/>
      <c r="WXP220" s="67"/>
      <c r="WXQ220" s="31"/>
      <c r="WXR220" s="19"/>
      <c r="WXS220" s="67"/>
      <c r="WXT220" s="67"/>
      <c r="WXU220" s="31"/>
      <c r="WXV220" s="19"/>
      <c r="WXW220" s="67"/>
      <c r="WXX220" s="67"/>
      <c r="WXY220" s="31"/>
      <c r="WXZ220" s="19"/>
      <c r="WYA220" s="67"/>
      <c r="WYB220" s="67"/>
      <c r="WYC220" s="31"/>
      <c r="WYD220" s="19"/>
      <c r="WYE220" s="67"/>
      <c r="WYF220" s="67"/>
      <c r="WYG220" s="31"/>
      <c r="WYH220" s="19"/>
      <c r="WYI220" s="67"/>
      <c r="WYJ220" s="67"/>
      <c r="WYK220" s="31"/>
      <c r="WYL220" s="19"/>
      <c r="WYM220" s="67"/>
      <c r="WYN220" s="67"/>
      <c r="WYO220" s="31"/>
      <c r="WYP220" s="19"/>
      <c r="WYQ220" s="67"/>
      <c r="WYR220" s="67"/>
      <c r="WYS220" s="31"/>
      <c r="WYT220" s="19"/>
      <c r="WYU220" s="67"/>
      <c r="WYV220" s="67"/>
      <c r="WYW220" s="31"/>
      <c r="WYX220" s="19"/>
      <c r="WYY220" s="67"/>
      <c r="WYZ220" s="67"/>
      <c r="WZA220" s="31"/>
      <c r="WZB220" s="19"/>
      <c r="WZC220" s="67"/>
      <c r="WZD220" s="67"/>
      <c r="WZE220" s="31"/>
      <c r="WZF220" s="19"/>
      <c r="WZG220" s="67"/>
      <c r="WZH220" s="67"/>
      <c r="WZI220" s="31"/>
      <c r="WZJ220" s="19"/>
      <c r="WZK220" s="67"/>
      <c r="WZL220" s="67"/>
      <c r="WZM220" s="31"/>
      <c r="WZN220" s="19"/>
      <c r="WZO220" s="67"/>
      <c r="WZP220" s="67"/>
      <c r="WZQ220" s="31"/>
      <c r="WZR220" s="19"/>
      <c r="WZS220" s="67"/>
      <c r="WZT220" s="67"/>
      <c r="WZU220" s="31"/>
      <c r="WZV220" s="19"/>
      <c r="WZW220" s="67"/>
      <c r="WZX220" s="67"/>
      <c r="WZY220" s="31"/>
      <c r="WZZ220" s="19"/>
      <c r="XAA220" s="67"/>
      <c r="XAB220" s="67"/>
      <c r="XAC220" s="31"/>
      <c r="XAD220" s="19"/>
      <c r="XAE220" s="67"/>
      <c r="XAF220" s="67"/>
      <c r="XAG220" s="31"/>
      <c r="XAH220" s="19"/>
      <c r="XAI220" s="67"/>
      <c r="XAJ220" s="67"/>
      <c r="XAK220" s="31"/>
      <c r="XAL220" s="19"/>
      <c r="XAM220" s="67"/>
      <c r="XAN220" s="67"/>
      <c r="XAO220" s="31"/>
      <c r="XAP220" s="19"/>
      <c r="XAQ220" s="67"/>
      <c r="XAR220" s="67"/>
      <c r="XAS220" s="31"/>
      <c r="XAT220" s="19"/>
      <c r="XAU220" s="67"/>
      <c r="XAV220" s="67"/>
      <c r="XAW220" s="31"/>
      <c r="XAX220" s="19"/>
      <c r="XAY220" s="67"/>
      <c r="XAZ220" s="67"/>
      <c r="XBA220" s="31"/>
      <c r="XBB220" s="19"/>
      <c r="XBC220" s="67"/>
      <c r="XBD220" s="67"/>
      <c r="XBE220" s="31"/>
      <c r="XBF220" s="19"/>
      <c r="XBG220" s="67"/>
      <c r="XBH220" s="67"/>
      <c r="XBI220" s="31"/>
      <c r="XBJ220" s="19"/>
      <c r="XBK220" s="67"/>
      <c r="XBL220" s="67"/>
      <c r="XBM220" s="31"/>
      <c r="XBN220" s="19"/>
      <c r="XBO220" s="67"/>
      <c r="XBP220" s="67"/>
      <c r="XBQ220" s="31"/>
      <c r="XBR220" s="19"/>
      <c r="XBS220" s="67"/>
      <c r="XBT220" s="67"/>
      <c r="XBU220" s="31"/>
      <c r="XBV220" s="19"/>
      <c r="XBW220" s="67"/>
      <c r="XBX220" s="67"/>
      <c r="XBY220" s="31"/>
      <c r="XBZ220" s="19"/>
      <c r="XCA220" s="67"/>
      <c r="XCB220" s="67"/>
      <c r="XCC220" s="31"/>
      <c r="XCD220" s="19"/>
      <c r="XCE220" s="67"/>
      <c r="XCF220" s="67"/>
      <c r="XCG220" s="31"/>
      <c r="XCH220" s="19"/>
      <c r="XCI220" s="67"/>
      <c r="XCJ220" s="67"/>
      <c r="XCK220" s="31"/>
      <c r="XCL220" s="19"/>
      <c r="XCM220" s="67"/>
      <c r="XCN220" s="67"/>
      <c r="XCO220" s="31"/>
      <c r="XCP220" s="19"/>
      <c r="XCQ220" s="67"/>
      <c r="XCR220" s="67"/>
      <c r="XCS220" s="31"/>
      <c r="XCT220" s="19"/>
      <c r="XCU220" s="67"/>
      <c r="XCV220" s="67"/>
      <c r="XCW220" s="31"/>
      <c r="XCX220" s="19"/>
      <c r="XCY220" s="67"/>
      <c r="XCZ220" s="67"/>
      <c r="XDA220" s="31"/>
      <c r="XDB220" s="19"/>
      <c r="XDC220" s="67"/>
      <c r="XDD220" s="67"/>
      <c r="XDE220" s="31"/>
      <c r="XDF220" s="19"/>
      <c r="XDG220" s="67"/>
      <c r="XDH220" s="67"/>
      <c r="XDI220" s="31"/>
      <c r="XDJ220" s="19"/>
      <c r="XDK220" s="67"/>
      <c r="XDL220" s="67"/>
      <c r="XDM220" s="31"/>
      <c r="XDN220" s="19"/>
      <c r="XDO220" s="67"/>
      <c r="XDP220" s="67"/>
      <c r="XDQ220" s="31"/>
      <c r="XDR220" s="19"/>
      <c r="XDS220" s="67"/>
      <c r="XDT220" s="67"/>
      <c r="XDU220" s="31"/>
      <c r="XDV220" s="19"/>
      <c r="XDW220" s="67"/>
      <c r="XDX220" s="67"/>
      <c r="XDY220" s="31"/>
      <c r="XDZ220" s="19"/>
      <c r="XEA220" s="67"/>
      <c r="XEB220" s="67"/>
      <c r="XEC220" s="31"/>
      <c r="XED220" s="19"/>
      <c r="XEE220" s="67"/>
      <c r="XEF220" s="67"/>
      <c r="XEG220" s="31"/>
      <c r="XEH220" s="19"/>
      <c r="XEI220" s="67"/>
      <c r="XEJ220" s="67"/>
      <c r="XEK220" s="31"/>
      <c r="XEL220" s="19"/>
      <c r="XEM220" s="67"/>
      <c r="XEN220" s="67"/>
    </row>
    <row r="221" spans="1:16368" s="6" customFormat="1" ht="18.75" customHeight="1" outlineLevel="2" x14ac:dyDescent="0.25">
      <c r="A221" s="20"/>
      <c r="B221" s="31" t="s">
        <v>629</v>
      </c>
      <c r="C221" s="86">
        <f>12450.68+950.6+73.93</f>
        <v>13475.210000000001</v>
      </c>
      <c r="D221" s="84">
        <v>15589.12</v>
      </c>
      <c r="E221" s="85">
        <f>12562.18+2051.8+56.76</f>
        <v>14670.74</v>
      </c>
      <c r="F221" s="68">
        <f>E221/G221</f>
        <v>0.97804933333333333</v>
      </c>
      <c r="G221" s="47">
        <v>15000</v>
      </c>
      <c r="H221" s="47">
        <v>15000</v>
      </c>
      <c r="I221" s="17" t="s">
        <v>630</v>
      </c>
      <c r="J221" s="20"/>
    </row>
    <row r="222" spans="1:16368" s="6" customFormat="1" ht="13" x14ac:dyDescent="0.3">
      <c r="A222" s="20" t="s">
        <v>631</v>
      </c>
      <c r="B222" s="30" t="s">
        <v>632</v>
      </c>
      <c r="C222" s="86">
        <v>18994.18</v>
      </c>
      <c r="D222" s="84">
        <f t="shared" ref="D222:H222" si="32">D223+D224</f>
        <v>6709.4400000000005</v>
      </c>
      <c r="E222" s="85">
        <f t="shared" si="32"/>
        <v>97938.32</v>
      </c>
      <c r="F222" s="68"/>
      <c r="G222" s="47">
        <f t="shared" si="32"/>
        <v>0</v>
      </c>
      <c r="H222" s="47">
        <f t="shared" si="32"/>
        <v>0</v>
      </c>
      <c r="I222" s="21" t="s">
        <v>633</v>
      </c>
      <c r="J222" s="20" t="s">
        <v>634</v>
      </c>
    </row>
    <row r="223" spans="1:16368" s="6" customFormat="1" ht="13.5" customHeight="1" outlineLevel="1" x14ac:dyDescent="0.25">
      <c r="A223" s="20" t="s">
        <v>635</v>
      </c>
      <c r="B223" s="31" t="s">
        <v>636</v>
      </c>
      <c r="C223" s="86"/>
      <c r="D223" s="84">
        <f>2568.39+355.49+3785.56</f>
        <v>6709.4400000000005</v>
      </c>
      <c r="E223" s="85">
        <v>97938.32</v>
      </c>
      <c r="F223" s="68"/>
      <c r="G223" s="47">
        <v>0</v>
      </c>
      <c r="H223" s="47"/>
      <c r="I223" s="17" t="s">
        <v>637</v>
      </c>
      <c r="J223" s="20" t="s">
        <v>638</v>
      </c>
    </row>
    <row r="224" spans="1:16368" s="6" customFormat="1" outlineLevel="1" x14ac:dyDescent="0.25">
      <c r="A224" s="20"/>
      <c r="B224" s="31" t="s">
        <v>639</v>
      </c>
      <c r="C224" s="86"/>
      <c r="D224" s="84"/>
      <c r="E224" s="87"/>
      <c r="F224" s="68"/>
      <c r="G224" s="47">
        <v>0</v>
      </c>
      <c r="H224" s="47"/>
      <c r="I224" s="17" t="s">
        <v>640</v>
      </c>
      <c r="J224" s="20"/>
    </row>
    <row r="225" spans="1:10" s="6" customFormat="1" ht="13" x14ac:dyDescent="0.3">
      <c r="A225" s="20"/>
      <c r="B225" s="30" t="s">
        <v>641</v>
      </c>
      <c r="C225" s="86">
        <f>C226+C227</f>
        <v>0</v>
      </c>
      <c r="D225" s="84"/>
      <c r="E225" s="87"/>
      <c r="F225" s="68"/>
      <c r="G225" s="47"/>
      <c r="H225" s="47"/>
      <c r="I225" s="21" t="s">
        <v>642</v>
      </c>
      <c r="J225" s="20"/>
    </row>
    <row r="226" spans="1:10" s="6" customFormat="1" outlineLevel="1" x14ac:dyDescent="0.25">
      <c r="A226" s="20" t="s">
        <v>643</v>
      </c>
      <c r="B226" s="31" t="s">
        <v>644</v>
      </c>
      <c r="C226" s="86">
        <v>0</v>
      </c>
      <c r="D226" s="84"/>
      <c r="E226" s="87"/>
      <c r="F226" s="68"/>
      <c r="G226" s="47"/>
      <c r="H226" s="47"/>
      <c r="I226" s="33" t="s">
        <v>645</v>
      </c>
      <c r="J226" s="20" t="s">
        <v>646</v>
      </c>
    </row>
    <row r="227" spans="1:10" s="6" customFormat="1" ht="25" outlineLevel="1" x14ac:dyDescent="0.25">
      <c r="A227" s="20" t="s">
        <v>647</v>
      </c>
      <c r="B227" s="31" t="s">
        <v>648</v>
      </c>
      <c r="C227" s="86">
        <v>0</v>
      </c>
      <c r="D227" s="84"/>
      <c r="E227" s="87"/>
      <c r="F227" s="68"/>
      <c r="G227" s="47"/>
      <c r="H227" s="47"/>
      <c r="I227" s="33" t="s">
        <v>649</v>
      </c>
      <c r="J227" s="20" t="s">
        <v>650</v>
      </c>
    </row>
    <row r="228" spans="1:10" s="6" customFormat="1" ht="13" thickBot="1" x14ac:dyDescent="0.3">
      <c r="A228" s="28"/>
      <c r="B228" s="31" t="s">
        <v>651</v>
      </c>
      <c r="C228" s="86"/>
      <c r="D228" s="84"/>
      <c r="E228" s="85"/>
      <c r="F228" s="68"/>
      <c r="G228" s="47"/>
      <c r="H228" s="47"/>
      <c r="I228" s="17" t="s">
        <v>652</v>
      </c>
      <c r="J228" s="28"/>
    </row>
    <row r="229" spans="1:10" s="1" customFormat="1" ht="16" thickBot="1" x14ac:dyDescent="0.4">
      <c r="A229" s="24"/>
      <c r="B229" s="23" t="s">
        <v>653</v>
      </c>
      <c r="C229" s="92">
        <f>C225+C222+C210+C199+C191+C190+C186+C185+C182+C178+C170+C162+C161+C160+C228</f>
        <v>607388.41</v>
      </c>
      <c r="D229" s="92">
        <f>D225+D222+D210+D199+D191+D190+D186+D185+D182+D178+D170+D162+D161+D160+D228</f>
        <v>466884.42000000004</v>
      </c>
      <c r="E229" s="92">
        <f>E225+E222+E210+E199+E191+E190+E186+E185+E182+E178+E170+E162+E161+E160+E228</f>
        <v>677401.1399999999</v>
      </c>
      <c r="F229" s="71">
        <f>E229/G229</f>
        <v>1.2730998255927588</v>
      </c>
      <c r="G229" s="49">
        <f>G225+G222+G210+G199+G191+G190+G186+G185+G182+G178+G170+G162+G161+G160+G228</f>
        <v>532088</v>
      </c>
      <c r="H229" s="49">
        <f>H225+H222+H210+H199+H191+H190+H186+H185+H182+H178+H170+H162+H161+H160+H228</f>
        <v>596115</v>
      </c>
      <c r="I229" s="24" t="s">
        <v>654</v>
      </c>
      <c r="J229" s="24"/>
    </row>
    <row r="230" spans="1:10" s="3" customFormat="1" ht="37.5" customHeight="1" thickBot="1" x14ac:dyDescent="0.4">
      <c r="A230" s="35"/>
      <c r="B230" s="34" t="s">
        <v>655</v>
      </c>
      <c r="C230" s="56">
        <f t="shared" ref="C230" si="33">C229+C159+C144+C77</f>
        <v>4599612.0419999994</v>
      </c>
      <c r="D230" s="50">
        <f>D229+D159+D144+D77</f>
        <v>4404668.6899999995</v>
      </c>
      <c r="E230" s="50">
        <f>E229+E159+E144+E77</f>
        <v>4346762.1099999994</v>
      </c>
      <c r="F230" s="72">
        <f>E230/G230</f>
        <v>0.96553538835327768</v>
      </c>
      <c r="G230" s="50">
        <f>G229+G159+G144+G77</f>
        <v>4501919</v>
      </c>
      <c r="H230" s="50">
        <f>H229+H159+H144+H77</f>
        <v>4426984</v>
      </c>
      <c r="I230" s="35" t="s">
        <v>656</v>
      </c>
      <c r="J230" s="35"/>
    </row>
    <row r="231" spans="1:10" s="2" customFormat="1" ht="58.5" customHeight="1" thickBot="1" x14ac:dyDescent="0.5">
      <c r="A231" s="10" t="s">
        <v>0</v>
      </c>
      <c r="B231" s="9" t="s">
        <v>657</v>
      </c>
      <c r="C231" s="36" t="s">
        <v>2</v>
      </c>
      <c r="D231" s="36" t="s">
        <v>3</v>
      </c>
      <c r="E231" s="36" t="s">
        <v>859</v>
      </c>
      <c r="F231" s="36"/>
      <c r="G231" s="46" t="str">
        <f>G1</f>
        <v>Budget Définitif 2021</v>
      </c>
      <c r="H231" s="82" t="str">
        <f>H1</f>
        <v>Budget 2022 (Février 2022)</v>
      </c>
      <c r="I231" s="10" t="s">
        <v>658</v>
      </c>
      <c r="J231" s="10"/>
    </row>
    <row r="232" spans="1:10" s="6" customFormat="1" ht="13" x14ac:dyDescent="0.3">
      <c r="A232" s="28"/>
      <c r="B232" s="12" t="s">
        <v>659</v>
      </c>
      <c r="C232" s="86">
        <f>C233+C234+C235+C236+C237+C238+C239</f>
        <v>307911.38</v>
      </c>
      <c r="D232" s="83">
        <f>D233+D234+D235+D236+D237+D238+D239</f>
        <v>286113.98</v>
      </c>
      <c r="E232" s="85">
        <f>SUM(E233:E239)</f>
        <v>352060.58</v>
      </c>
      <c r="F232" s="68">
        <f>E232/G232</f>
        <v>1.0291159894767612</v>
      </c>
      <c r="G232" s="64">
        <f>SUM(G233:G239)</f>
        <v>342100</v>
      </c>
      <c r="H232" s="64">
        <f>SUM(H233:H239)</f>
        <v>405575</v>
      </c>
      <c r="I232" s="17" t="s">
        <v>284</v>
      </c>
      <c r="J232" s="28"/>
    </row>
    <row r="233" spans="1:10" ht="13" outlineLevel="1" x14ac:dyDescent="0.3">
      <c r="A233" s="42" t="s">
        <v>660</v>
      </c>
      <c r="B233" s="18" t="s">
        <v>661</v>
      </c>
      <c r="C233" s="86">
        <f>60+206038.79+4784</f>
        <v>210882.79</v>
      </c>
      <c r="D233" s="86">
        <f>159740.19+25</f>
        <v>159765.19</v>
      </c>
      <c r="E233" s="85">
        <f>200172.44+50</f>
        <v>200222.44</v>
      </c>
      <c r="F233" s="68">
        <f>E233/G233</f>
        <v>1.4350291345636983</v>
      </c>
      <c r="G233" s="61">
        <v>139525</v>
      </c>
      <c r="H233" s="64">
        <f>160000</f>
        <v>160000</v>
      </c>
      <c r="I233" s="17" t="s">
        <v>662</v>
      </c>
      <c r="J233" s="42" t="s">
        <v>663</v>
      </c>
    </row>
    <row r="234" spans="1:10" ht="13" outlineLevel="1" x14ac:dyDescent="0.3">
      <c r="A234" s="42"/>
      <c r="B234" s="18" t="s">
        <v>664</v>
      </c>
      <c r="C234" s="86"/>
      <c r="D234" s="84">
        <v>4743</v>
      </c>
      <c r="E234" s="85">
        <v>4213</v>
      </c>
      <c r="F234" s="68"/>
      <c r="G234" s="61">
        <v>0</v>
      </c>
      <c r="H234" s="64"/>
      <c r="I234" s="17" t="s">
        <v>665</v>
      </c>
      <c r="J234" s="42"/>
    </row>
    <row r="235" spans="1:10" ht="13" outlineLevel="1" x14ac:dyDescent="0.3">
      <c r="A235" s="42"/>
      <c r="B235" s="18" t="s">
        <v>666</v>
      </c>
      <c r="C235" s="86">
        <v>12313.08</v>
      </c>
      <c r="D235" s="84">
        <v>28804.6</v>
      </c>
      <c r="E235" s="85">
        <f>78892.61+995</f>
        <v>79887.61</v>
      </c>
      <c r="F235" s="68">
        <f>E235/G235</f>
        <v>0.90192051933389783</v>
      </c>
      <c r="G235" s="61">
        <v>88575</v>
      </c>
      <c r="H235" s="64">
        <v>133575</v>
      </c>
      <c r="I235" s="17" t="s">
        <v>667</v>
      </c>
      <c r="J235" s="42"/>
    </row>
    <row r="236" spans="1:10" ht="13" outlineLevel="1" x14ac:dyDescent="0.3">
      <c r="A236" s="42" t="s">
        <v>301</v>
      </c>
      <c r="B236" s="18" t="s">
        <v>668</v>
      </c>
      <c r="C236" s="86">
        <v>11712.84</v>
      </c>
      <c r="D236" s="84">
        <v>5670.99</v>
      </c>
      <c r="E236" s="85">
        <v>7809.5</v>
      </c>
      <c r="F236" s="68">
        <f>E236/G236</f>
        <v>0.97618749999999999</v>
      </c>
      <c r="G236" s="61">
        <v>8000</v>
      </c>
      <c r="H236" s="64">
        <v>8000</v>
      </c>
      <c r="I236" s="17" t="s">
        <v>669</v>
      </c>
      <c r="J236" s="42" t="s">
        <v>670</v>
      </c>
    </row>
    <row r="237" spans="1:10" ht="13.25" customHeight="1" outlineLevel="1" x14ac:dyDescent="0.3">
      <c r="A237" s="42" t="s">
        <v>305</v>
      </c>
      <c r="B237" s="18" t="s">
        <v>671</v>
      </c>
      <c r="C237" s="86">
        <v>28448.37</v>
      </c>
      <c r="D237" s="84">
        <v>19174.5</v>
      </c>
      <c r="E237" s="85">
        <v>2497.59</v>
      </c>
      <c r="F237" s="68">
        <f>E237/G237</f>
        <v>8.0567419354838715E-2</v>
      </c>
      <c r="G237" s="61">
        <v>31000</v>
      </c>
      <c r="H237" s="64">
        <v>31000</v>
      </c>
      <c r="I237" s="17" t="s">
        <v>307</v>
      </c>
      <c r="J237" s="42" t="s">
        <v>672</v>
      </c>
    </row>
    <row r="238" spans="1:10" ht="0.65" customHeight="1" outlineLevel="1" x14ac:dyDescent="0.3">
      <c r="A238" s="42" t="s">
        <v>309</v>
      </c>
      <c r="B238" s="18" t="s">
        <v>673</v>
      </c>
      <c r="C238" s="86"/>
      <c r="D238" s="84">
        <v>0</v>
      </c>
      <c r="E238" s="87"/>
      <c r="F238" s="68"/>
      <c r="G238" s="61"/>
      <c r="H238" s="64"/>
      <c r="I238" s="17" t="s">
        <v>311</v>
      </c>
      <c r="J238" s="42" t="s">
        <v>674</v>
      </c>
    </row>
    <row r="239" spans="1:10" ht="13" outlineLevel="1" x14ac:dyDescent="0.3">
      <c r="A239" s="42" t="s">
        <v>675</v>
      </c>
      <c r="B239" s="18" t="s">
        <v>676</v>
      </c>
      <c r="C239" s="86">
        <f>C240+C241+C242+C243+C244+C245</f>
        <v>44554.3</v>
      </c>
      <c r="D239" s="84">
        <f>SUM(D240:D245)</f>
        <v>67955.7</v>
      </c>
      <c r="E239" s="85">
        <f>SUM(E240:E245)</f>
        <v>57430.44</v>
      </c>
      <c r="F239" s="68">
        <f t="shared" ref="F239:F252" si="34">E239/G239</f>
        <v>0.76573920000000006</v>
      </c>
      <c r="G239" s="61">
        <f>SUM(G240:G245)</f>
        <v>75000</v>
      </c>
      <c r="H239" s="64">
        <f>H240+H245</f>
        <v>73000</v>
      </c>
      <c r="I239" s="17" t="s">
        <v>266</v>
      </c>
      <c r="J239" s="42" t="s">
        <v>677</v>
      </c>
    </row>
    <row r="240" spans="1:10" ht="12" customHeight="1" outlineLevel="1" x14ac:dyDescent="0.3">
      <c r="A240" s="42"/>
      <c r="B240" s="18" t="s">
        <v>678</v>
      </c>
      <c r="C240" s="86">
        <v>12055.46</v>
      </c>
      <c r="D240" s="84">
        <v>11375.83</v>
      </c>
      <c r="E240" s="85">
        <v>9160.9599999999991</v>
      </c>
      <c r="F240" s="68">
        <f t="shared" si="34"/>
        <v>0.61073066666666664</v>
      </c>
      <c r="G240" s="61">
        <v>15000</v>
      </c>
      <c r="H240" s="64">
        <v>12000</v>
      </c>
      <c r="I240" s="17"/>
      <c r="J240" s="42"/>
    </row>
    <row r="241" spans="1:10" ht="13" hidden="1" outlineLevel="1" x14ac:dyDescent="0.3">
      <c r="A241" s="42"/>
      <c r="B241" s="58" t="s">
        <v>679</v>
      </c>
      <c r="C241" s="86">
        <v>0</v>
      </c>
      <c r="D241" s="84"/>
      <c r="E241" s="87"/>
      <c r="F241" s="68" t="e">
        <f t="shared" si="34"/>
        <v>#DIV/0!</v>
      </c>
      <c r="G241" s="61"/>
      <c r="H241" s="64"/>
      <c r="I241" s="17" t="s">
        <v>680</v>
      </c>
      <c r="J241" s="42"/>
    </row>
    <row r="242" spans="1:10" ht="13" hidden="1" outlineLevel="1" x14ac:dyDescent="0.3">
      <c r="A242" s="42"/>
      <c r="B242" s="58" t="s">
        <v>681</v>
      </c>
      <c r="C242" s="86">
        <v>0</v>
      </c>
      <c r="D242" s="84"/>
      <c r="E242" s="87"/>
      <c r="F242" s="68" t="e">
        <f t="shared" si="34"/>
        <v>#DIV/0!</v>
      </c>
      <c r="G242" s="61"/>
      <c r="H242" s="64"/>
      <c r="I242" s="17" t="s">
        <v>682</v>
      </c>
      <c r="J242" s="42"/>
    </row>
    <row r="243" spans="1:10" ht="13" hidden="1" outlineLevel="1" x14ac:dyDescent="0.3">
      <c r="A243" s="42"/>
      <c r="B243" s="58" t="s">
        <v>272</v>
      </c>
      <c r="C243" s="86">
        <v>0</v>
      </c>
      <c r="D243" s="84"/>
      <c r="E243" s="87"/>
      <c r="F243" s="68" t="e">
        <f t="shared" si="34"/>
        <v>#DIV/0!</v>
      </c>
      <c r="G243" s="61"/>
      <c r="H243" s="64"/>
      <c r="I243" s="17" t="s">
        <v>683</v>
      </c>
      <c r="J243" s="42"/>
    </row>
    <row r="244" spans="1:10" ht="13" hidden="1" outlineLevel="1" x14ac:dyDescent="0.3">
      <c r="A244" s="42"/>
      <c r="B244" s="58" t="s">
        <v>274</v>
      </c>
      <c r="C244" s="86">
        <v>0</v>
      </c>
      <c r="D244" s="84"/>
      <c r="E244" s="87"/>
      <c r="F244" s="68" t="e">
        <f t="shared" si="34"/>
        <v>#DIV/0!</v>
      </c>
      <c r="G244" s="61"/>
      <c r="H244" s="64"/>
      <c r="I244" s="17" t="s">
        <v>684</v>
      </c>
      <c r="J244" s="42"/>
    </row>
    <row r="245" spans="1:10" ht="13" outlineLevel="1" x14ac:dyDescent="0.3">
      <c r="A245" s="42"/>
      <c r="B245" s="58" t="s">
        <v>685</v>
      </c>
      <c r="C245" s="86">
        <v>32498.84</v>
      </c>
      <c r="D245" s="84">
        <v>56579.87</v>
      </c>
      <c r="E245" s="85">
        <v>48269.48</v>
      </c>
      <c r="F245" s="68">
        <f t="shared" si="34"/>
        <v>0.80449133333333334</v>
      </c>
      <c r="G245" s="61">
        <v>60000</v>
      </c>
      <c r="H245" s="64">
        <v>61000</v>
      </c>
      <c r="I245" s="17"/>
      <c r="J245" s="42"/>
    </row>
    <row r="246" spans="1:10" s="44" customFormat="1" ht="13" x14ac:dyDescent="0.3">
      <c r="A246" s="42" t="s">
        <v>686</v>
      </c>
      <c r="B246" s="12" t="s">
        <v>687</v>
      </c>
      <c r="C246" s="86">
        <f>1362567.04+295074.16</f>
        <v>1657641.2</v>
      </c>
      <c r="D246" s="84">
        <f>1479063.85+308257</f>
        <v>1787320.85</v>
      </c>
      <c r="E246" s="85">
        <f>1444147.6+294006.84</f>
        <v>1738154.4400000002</v>
      </c>
      <c r="F246" s="68">
        <f t="shared" si="34"/>
        <v>0.97370089423511619</v>
      </c>
      <c r="G246" s="61">
        <f>1785101</f>
        <v>1785101</v>
      </c>
      <c r="H246" s="64">
        <v>1930000</v>
      </c>
      <c r="I246" s="17" t="s">
        <v>688</v>
      </c>
      <c r="J246" s="42" t="s">
        <v>689</v>
      </c>
    </row>
    <row r="247" spans="1:10" s="1" customFormat="1" ht="13" x14ac:dyDescent="0.3">
      <c r="A247" s="42" t="s">
        <v>690</v>
      </c>
      <c r="B247" s="12" t="s">
        <v>691</v>
      </c>
      <c r="C247" s="86">
        <f>5583.74+145279.39+24368</f>
        <v>175231.13</v>
      </c>
      <c r="D247" s="84">
        <f>107173.84+13906+190</f>
        <v>121269.84</v>
      </c>
      <c r="E247" s="85">
        <f>1310+478.84+19949.18+21872.5</f>
        <v>43610.520000000004</v>
      </c>
      <c r="F247" s="68">
        <f t="shared" si="34"/>
        <v>0.51306494117647061</v>
      </c>
      <c r="G247" s="61">
        <v>85000</v>
      </c>
      <c r="H247" s="64">
        <v>85000</v>
      </c>
      <c r="I247" s="17" t="s">
        <v>692</v>
      </c>
      <c r="J247" s="42" t="s">
        <v>693</v>
      </c>
    </row>
    <row r="248" spans="1:10" s="44" customFormat="1" ht="13" x14ac:dyDescent="0.3">
      <c r="A248" s="42" t="s">
        <v>694</v>
      </c>
      <c r="B248" s="12" t="s">
        <v>695</v>
      </c>
      <c r="C248" s="86">
        <f>30078.4+2605</f>
        <v>32683.4</v>
      </c>
      <c r="D248" s="84">
        <v>540</v>
      </c>
      <c r="E248" s="85">
        <f>225+1400</f>
        <v>1625</v>
      </c>
      <c r="F248" s="68">
        <f t="shared" si="34"/>
        <v>6.5000000000000002E-2</v>
      </c>
      <c r="G248" s="61">
        <v>25000</v>
      </c>
      <c r="H248" s="64">
        <v>25000</v>
      </c>
      <c r="I248" s="17" t="s">
        <v>696</v>
      </c>
      <c r="J248" s="42" t="s">
        <v>697</v>
      </c>
    </row>
    <row r="249" spans="1:10" s="1" customFormat="1" ht="13" x14ac:dyDescent="0.3">
      <c r="A249" s="42" t="s">
        <v>698</v>
      </c>
      <c r="B249" s="12" t="s">
        <v>699</v>
      </c>
      <c r="C249" s="86">
        <v>1663476.7</v>
      </c>
      <c r="D249" s="84">
        <v>495847.11</v>
      </c>
      <c r="E249" s="85">
        <v>921910.25</v>
      </c>
      <c r="F249" s="68">
        <f t="shared" si="34"/>
        <v>1.0266261135857462</v>
      </c>
      <c r="G249" s="61">
        <v>898000</v>
      </c>
      <c r="H249" s="64">
        <v>870000</v>
      </c>
      <c r="I249" s="17" t="s">
        <v>321</v>
      </c>
      <c r="J249" s="42" t="s">
        <v>698</v>
      </c>
    </row>
    <row r="250" spans="1:10" s="1" customFormat="1" ht="13" x14ac:dyDescent="0.3">
      <c r="A250" s="42" t="s">
        <v>700</v>
      </c>
      <c r="B250" s="12" t="s">
        <v>701</v>
      </c>
      <c r="C250" s="86">
        <f>12000+500</f>
        <v>12500</v>
      </c>
      <c r="D250" s="84">
        <v>25728</v>
      </c>
      <c r="E250" s="85">
        <v>25993.14</v>
      </c>
      <c r="F250" s="68">
        <f t="shared" si="34"/>
        <v>1.2996570000000001</v>
      </c>
      <c r="G250" s="61">
        <f>15000+5000</f>
        <v>20000</v>
      </c>
      <c r="H250" s="64">
        <v>30000</v>
      </c>
      <c r="I250" s="17" t="s">
        <v>330</v>
      </c>
      <c r="J250" s="42" t="s">
        <v>702</v>
      </c>
    </row>
    <row r="251" spans="1:10" s="1" customFormat="1" ht="13" x14ac:dyDescent="0.3">
      <c r="A251" s="42" t="s">
        <v>703</v>
      </c>
      <c r="B251" s="12" t="s">
        <v>704</v>
      </c>
      <c r="C251" s="86">
        <v>12388.84</v>
      </c>
      <c r="D251" s="84">
        <v>7500</v>
      </c>
      <c r="E251" s="85">
        <v>8326.14</v>
      </c>
      <c r="F251" s="68">
        <f t="shared" si="34"/>
        <v>0.3330456</v>
      </c>
      <c r="G251" s="61">
        <v>25000</v>
      </c>
      <c r="H251" s="64">
        <v>15000</v>
      </c>
      <c r="I251" s="17" t="s">
        <v>705</v>
      </c>
      <c r="J251" s="42" t="s">
        <v>706</v>
      </c>
    </row>
    <row r="252" spans="1:10" s="1" customFormat="1" ht="14" customHeight="1" thickBot="1" x14ac:dyDescent="0.35">
      <c r="A252" s="42" t="s">
        <v>707</v>
      </c>
      <c r="B252" s="12" t="s">
        <v>708</v>
      </c>
      <c r="C252" s="86">
        <v>51000</v>
      </c>
      <c r="D252" s="84">
        <v>78000</v>
      </c>
      <c r="E252" s="85">
        <f>107920+53260</f>
        <v>161180</v>
      </c>
      <c r="F252" s="68">
        <f t="shared" si="34"/>
        <v>2.6863333333333332</v>
      </c>
      <c r="G252" s="61">
        <v>60000</v>
      </c>
      <c r="H252" s="64">
        <f>50000+9000+10000+25000+53360</f>
        <v>147360</v>
      </c>
      <c r="I252" s="17" t="s">
        <v>709</v>
      </c>
      <c r="J252" s="42" t="s">
        <v>710</v>
      </c>
    </row>
    <row r="253" spans="1:10" s="1" customFormat="1" ht="13.5" hidden="1" thickBot="1" x14ac:dyDescent="0.35">
      <c r="A253" s="42"/>
      <c r="B253" s="12"/>
      <c r="C253" s="86"/>
      <c r="D253" s="84"/>
      <c r="E253" s="90"/>
      <c r="F253" s="68" t="e">
        <f>D253/#REF!</f>
        <v>#REF!</v>
      </c>
      <c r="G253" s="61"/>
      <c r="H253" s="79"/>
      <c r="J253" s="42"/>
    </row>
    <row r="254" spans="1:10" ht="16" thickBot="1" x14ac:dyDescent="0.4">
      <c r="A254" s="43"/>
      <c r="B254" s="23" t="s">
        <v>711</v>
      </c>
      <c r="C254" s="92">
        <f>C252+C251+C250+C249+C248+C247+C246+C232</f>
        <v>3912832.6499999994</v>
      </c>
      <c r="D254" s="91">
        <f>D252+D251+D250+D249+D248+D247+D246+D232</f>
        <v>2802319.78</v>
      </c>
      <c r="E254" s="91">
        <f>E252+E251+E250+E249+E248+E247+E246+E232</f>
        <v>3252860.0700000003</v>
      </c>
      <c r="F254" s="41">
        <f>E254/G254</f>
        <v>1.0039068779992353</v>
      </c>
      <c r="G254" s="49">
        <f>G252+G251+G250+G249+G248+G247+G246+G232</f>
        <v>3240201</v>
      </c>
      <c r="H254" s="49">
        <f>H252+H251+H250+H249+H248+H247+H246+H232</f>
        <v>3507935</v>
      </c>
      <c r="I254" s="24" t="s">
        <v>712</v>
      </c>
      <c r="J254" s="43"/>
    </row>
    <row r="255" spans="1:10" s="6" customFormat="1" ht="13" x14ac:dyDescent="0.3">
      <c r="A255" s="42" t="s">
        <v>713</v>
      </c>
      <c r="B255" s="12" t="s">
        <v>349</v>
      </c>
      <c r="C255" s="86">
        <f>C256+C257+C258+C259+C260+C262+C263+C264+C266+C267+C268</f>
        <v>129638.97</v>
      </c>
      <c r="D255" s="83">
        <f>D256+D257+D258+D259+D260+D262+D263+D264+D266+D267+D268</f>
        <v>284630.01000000007</v>
      </c>
      <c r="E255" s="85">
        <f>SUM(E256:E267)</f>
        <v>298503.06</v>
      </c>
      <c r="F255" s="68">
        <f>E255/G255</f>
        <v>0.59403594029850748</v>
      </c>
      <c r="G255" s="61">
        <f>SUM(G256:G267)</f>
        <v>502500</v>
      </c>
      <c r="H255" s="61">
        <f>SUM(H256:H267)</f>
        <v>293500</v>
      </c>
      <c r="I255" s="21" t="s">
        <v>350</v>
      </c>
      <c r="J255" s="42" t="s">
        <v>714</v>
      </c>
    </row>
    <row r="256" spans="1:10" ht="13" outlineLevel="1" x14ac:dyDescent="0.3">
      <c r="A256" s="42"/>
      <c r="B256" s="18" t="s">
        <v>715</v>
      </c>
      <c r="C256" s="86">
        <v>35375.49</v>
      </c>
      <c r="D256" s="86">
        <v>50202.9</v>
      </c>
      <c r="E256" s="85">
        <v>41044.35</v>
      </c>
      <c r="F256" s="68">
        <f>E256/G256</f>
        <v>0.63145153846153845</v>
      </c>
      <c r="G256" s="61">
        <v>65000</v>
      </c>
      <c r="H256" s="61">
        <v>55000</v>
      </c>
      <c r="I256" s="17" t="s">
        <v>716</v>
      </c>
      <c r="J256" s="42" t="s">
        <v>717</v>
      </c>
    </row>
    <row r="257" spans="1:10" ht="13" outlineLevel="1" x14ac:dyDescent="0.3">
      <c r="A257" s="42"/>
      <c r="B257" s="59" t="s">
        <v>718</v>
      </c>
      <c r="C257" s="86">
        <v>12291.2</v>
      </c>
      <c r="D257" s="86">
        <v>6214</v>
      </c>
      <c r="E257" s="85">
        <f>3350+120</f>
        <v>3470</v>
      </c>
      <c r="F257" s="68">
        <f>E257/G257</f>
        <v>0.43375000000000002</v>
      </c>
      <c r="G257" s="61">
        <v>8000</v>
      </c>
      <c r="H257" s="61">
        <v>6000</v>
      </c>
      <c r="I257" s="17" t="s">
        <v>719</v>
      </c>
      <c r="J257" s="42" t="s">
        <v>720</v>
      </c>
    </row>
    <row r="258" spans="1:10" ht="13" outlineLevel="1" x14ac:dyDescent="0.3">
      <c r="A258" s="42"/>
      <c r="B258" s="18" t="s">
        <v>721</v>
      </c>
      <c r="C258" s="86">
        <v>0</v>
      </c>
      <c r="D258" s="86">
        <v>0</v>
      </c>
      <c r="E258" s="85"/>
      <c r="F258" s="68"/>
      <c r="G258" s="61"/>
      <c r="H258" s="61"/>
      <c r="I258" s="73" t="s">
        <v>722</v>
      </c>
      <c r="J258" s="42" t="s">
        <v>723</v>
      </c>
    </row>
    <row r="259" spans="1:10" ht="13" outlineLevel="1" x14ac:dyDescent="0.3">
      <c r="A259" s="42" t="s">
        <v>724</v>
      </c>
      <c r="B259" s="18" t="s">
        <v>725</v>
      </c>
      <c r="C259" s="86">
        <v>664.8</v>
      </c>
      <c r="D259" s="86">
        <v>803.46</v>
      </c>
      <c r="E259" s="85">
        <v>442.98</v>
      </c>
      <c r="F259" s="68">
        <f>E259/G259</f>
        <v>0.22149000000000002</v>
      </c>
      <c r="G259" s="61">
        <v>2000</v>
      </c>
      <c r="H259" s="61">
        <v>2000</v>
      </c>
      <c r="I259" s="17" t="s">
        <v>726</v>
      </c>
      <c r="J259" s="42" t="s">
        <v>727</v>
      </c>
    </row>
    <row r="260" spans="1:10" ht="13.4" customHeight="1" outlineLevel="1" x14ac:dyDescent="0.3">
      <c r="A260" s="42"/>
      <c r="B260" s="18" t="s">
        <v>728</v>
      </c>
      <c r="C260" s="86">
        <f>16517.4+12</f>
        <v>16529.400000000001</v>
      </c>
      <c r="D260" s="86">
        <v>7776</v>
      </c>
      <c r="E260" s="85">
        <v>3803</v>
      </c>
      <c r="F260" s="68">
        <f>E260/G260</f>
        <v>0.50706666666666667</v>
      </c>
      <c r="G260" s="61">
        <v>7500</v>
      </c>
      <c r="H260" s="61">
        <v>7500</v>
      </c>
      <c r="I260" s="17" t="s">
        <v>729</v>
      </c>
      <c r="J260" s="42" t="s">
        <v>730</v>
      </c>
    </row>
    <row r="261" spans="1:10" ht="13.4" customHeight="1" outlineLevel="1" x14ac:dyDescent="0.3">
      <c r="A261" s="42"/>
      <c r="B261" s="18"/>
      <c r="C261" s="86"/>
      <c r="D261" s="86"/>
      <c r="E261" s="85"/>
      <c r="F261" s="68"/>
      <c r="G261" s="61"/>
      <c r="H261" s="61"/>
      <c r="I261" s="17"/>
      <c r="J261" s="42"/>
    </row>
    <row r="262" spans="1:10" ht="14.15" customHeight="1" outlineLevel="1" x14ac:dyDescent="0.3">
      <c r="A262" s="42"/>
      <c r="B262" s="18" t="s">
        <v>731</v>
      </c>
      <c r="C262" s="86">
        <v>53276.88</v>
      </c>
      <c r="D262" s="86">
        <v>71616.72</v>
      </c>
      <c r="E262" s="85">
        <f>44415.05+200</f>
        <v>44615.05</v>
      </c>
      <c r="F262" s="68">
        <f>E262/G262</f>
        <v>0.6373578571428572</v>
      </c>
      <c r="G262" s="61">
        <v>70000</v>
      </c>
      <c r="H262" s="61">
        <v>70000</v>
      </c>
      <c r="I262" s="17" t="s">
        <v>732</v>
      </c>
      <c r="J262" s="42" t="s">
        <v>733</v>
      </c>
    </row>
    <row r="263" spans="1:10" ht="14.25" customHeight="1" outlineLevel="1" x14ac:dyDescent="0.3">
      <c r="A263" s="42"/>
      <c r="B263" s="18" t="s">
        <v>734</v>
      </c>
      <c r="C263" s="86">
        <v>8497.2000000000007</v>
      </c>
      <c r="D263" s="86">
        <f>2137.6</f>
        <v>2137.6</v>
      </c>
      <c r="E263" s="85">
        <v>1296.2</v>
      </c>
      <c r="F263" s="68">
        <f>E263/G263</f>
        <v>0.64810000000000001</v>
      </c>
      <c r="G263" s="61">
        <v>2000</v>
      </c>
      <c r="H263" s="61">
        <v>2000</v>
      </c>
      <c r="I263" s="17" t="s">
        <v>735</v>
      </c>
      <c r="J263" s="42"/>
    </row>
    <row r="264" spans="1:10" ht="14.25" customHeight="1" outlineLevel="1" x14ac:dyDescent="0.3">
      <c r="A264" s="42"/>
      <c r="B264" s="18" t="s">
        <v>736</v>
      </c>
      <c r="C264" s="86">
        <v>2773.2</v>
      </c>
      <c r="D264" s="86">
        <v>144856</v>
      </c>
      <c r="E264" s="85">
        <f>168937.78+1388.88</f>
        <v>170326.66</v>
      </c>
      <c r="F264" s="68">
        <f>E264/G264</f>
        <v>0.50096076470588236</v>
      </c>
      <c r="G264" s="61">
        <f>300000+40000</f>
        <v>340000</v>
      </c>
      <c r="H264" s="61">
        <v>150000</v>
      </c>
      <c r="I264" s="17" t="s">
        <v>737</v>
      </c>
      <c r="J264" s="42"/>
    </row>
    <row r="265" spans="1:10" ht="14.25" customHeight="1" outlineLevel="1" x14ac:dyDescent="0.3">
      <c r="A265" s="42"/>
      <c r="B265" s="18" t="s">
        <v>738</v>
      </c>
      <c r="C265" s="86"/>
      <c r="D265" s="86">
        <v>42177.5</v>
      </c>
      <c r="E265" s="85">
        <v>847.97</v>
      </c>
      <c r="F265" s="68">
        <f>E265/G265</f>
        <v>0.28265666666666667</v>
      </c>
      <c r="G265" s="61">
        <v>3000</v>
      </c>
      <c r="H265" s="61">
        <v>0</v>
      </c>
      <c r="I265" s="17" t="s">
        <v>739</v>
      </c>
      <c r="J265" s="42"/>
    </row>
    <row r="266" spans="1:10" ht="13" outlineLevel="1" x14ac:dyDescent="0.3">
      <c r="A266" s="42" t="s">
        <v>740</v>
      </c>
      <c r="B266" s="18" t="s">
        <v>741</v>
      </c>
      <c r="C266" s="86">
        <v>28.55</v>
      </c>
      <c r="D266" s="86">
        <v>759.63</v>
      </c>
      <c r="E266" s="85">
        <v>32507.15</v>
      </c>
      <c r="F266" s="68"/>
      <c r="G266" s="61">
        <v>0</v>
      </c>
      <c r="H266" s="61">
        <v>500</v>
      </c>
      <c r="I266" s="17" t="s">
        <v>742</v>
      </c>
      <c r="J266" s="42" t="s">
        <v>743</v>
      </c>
    </row>
    <row r="267" spans="1:10" ht="11.25" customHeight="1" outlineLevel="1" x14ac:dyDescent="0.3">
      <c r="A267" s="42"/>
      <c r="B267" s="18" t="s">
        <v>744</v>
      </c>
      <c r="C267" s="86">
        <f>176.9+15</f>
        <v>191.9</v>
      </c>
      <c r="D267" s="86">
        <f>152+50+61.7</f>
        <v>263.7</v>
      </c>
      <c r="E267" s="85">
        <v>149.69999999999999</v>
      </c>
      <c r="F267" s="68">
        <f>E267/G267</f>
        <v>2.9939999999999998E-2</v>
      </c>
      <c r="G267" s="61">
        <v>5000</v>
      </c>
      <c r="H267" s="61">
        <v>500</v>
      </c>
      <c r="I267" s="17" t="s">
        <v>366</v>
      </c>
      <c r="J267" s="42"/>
    </row>
    <row r="268" spans="1:10" ht="15.75" customHeight="1" outlineLevel="1" x14ac:dyDescent="0.3">
      <c r="A268" s="42"/>
      <c r="B268" s="18" t="s">
        <v>745</v>
      </c>
      <c r="C268" s="86">
        <v>10.35</v>
      </c>
      <c r="D268" s="86"/>
      <c r="E268" s="85">
        <v>0</v>
      </c>
      <c r="F268" s="68"/>
      <c r="G268" s="61">
        <v>0</v>
      </c>
      <c r="H268" s="61">
        <v>0</v>
      </c>
      <c r="I268" s="17" t="s">
        <v>746</v>
      </c>
      <c r="J268" s="42"/>
    </row>
    <row r="269" spans="1:10" s="6" customFormat="1" ht="13" x14ac:dyDescent="0.3">
      <c r="A269" s="63"/>
      <c r="B269" s="65" t="s">
        <v>372</v>
      </c>
      <c r="C269" s="86">
        <f t="shared" ref="C269" si="35">C270+C271+C272+C273+C275+C277</f>
        <v>270521.55</v>
      </c>
      <c r="D269" s="86">
        <f>D270+D271+D272+D273+D275+D277</f>
        <v>240434.53</v>
      </c>
      <c r="E269" s="85">
        <f t="shared" ref="E269" si="36">SUM(E270:E277)</f>
        <v>32680</v>
      </c>
      <c r="F269" s="68">
        <f>E269/G269</f>
        <v>0.31123809523809526</v>
      </c>
      <c r="G269" s="61">
        <f>SUM(G270:G277)</f>
        <v>105000</v>
      </c>
      <c r="H269" s="61">
        <f>SUM(H270:H277)</f>
        <v>133000</v>
      </c>
      <c r="I269" s="21" t="s">
        <v>373</v>
      </c>
      <c r="J269" s="63"/>
    </row>
    <row r="270" spans="1:10" s="6" customFormat="1" ht="13" outlineLevel="1" x14ac:dyDescent="0.3">
      <c r="A270" s="42"/>
      <c r="B270" s="31" t="s">
        <v>376</v>
      </c>
      <c r="C270" s="86">
        <v>33193</v>
      </c>
      <c r="D270" s="86">
        <v>30000</v>
      </c>
      <c r="E270" s="85">
        <v>0</v>
      </c>
      <c r="F270" s="68">
        <f>E270/G270</f>
        <v>0</v>
      </c>
      <c r="G270" s="61">
        <v>6500</v>
      </c>
      <c r="H270" s="61">
        <f>6500+15000</f>
        <v>21500</v>
      </c>
      <c r="I270" s="17" t="s">
        <v>376</v>
      </c>
      <c r="J270" s="42"/>
    </row>
    <row r="271" spans="1:10" s="6" customFormat="1" ht="13" outlineLevel="1" x14ac:dyDescent="0.3">
      <c r="A271" s="42"/>
      <c r="B271" s="31" t="s">
        <v>377</v>
      </c>
      <c r="C271" s="86">
        <v>176874.86</v>
      </c>
      <c r="D271" s="84">
        <v>181329.53</v>
      </c>
      <c r="E271" s="85">
        <v>0</v>
      </c>
      <c r="F271" s="68"/>
      <c r="G271" s="61">
        <v>0</v>
      </c>
      <c r="H271" s="61">
        <v>16500</v>
      </c>
      <c r="I271" s="17" t="s">
        <v>377</v>
      </c>
      <c r="J271" s="42"/>
    </row>
    <row r="272" spans="1:10" ht="13" outlineLevel="1" x14ac:dyDescent="0.3">
      <c r="A272" s="42"/>
      <c r="B272" s="31" t="s">
        <v>747</v>
      </c>
      <c r="C272" s="86">
        <v>37802.699999999997</v>
      </c>
      <c r="D272" s="84">
        <f>26805+1000</f>
        <v>27805</v>
      </c>
      <c r="E272" s="85">
        <v>30230</v>
      </c>
      <c r="F272" s="68">
        <f>E272/G272</f>
        <v>0.86371428571428577</v>
      </c>
      <c r="G272" s="61">
        <v>35000</v>
      </c>
      <c r="H272" s="61">
        <v>35000</v>
      </c>
      <c r="I272" s="17" t="s">
        <v>379</v>
      </c>
      <c r="J272" s="42"/>
    </row>
    <row r="273" spans="1:10" ht="13" outlineLevel="1" x14ac:dyDescent="0.3">
      <c r="A273" s="42"/>
      <c r="B273" s="31" t="s">
        <v>748</v>
      </c>
      <c r="C273" s="86">
        <v>0</v>
      </c>
      <c r="D273" s="84">
        <v>0</v>
      </c>
      <c r="E273" s="85">
        <v>0</v>
      </c>
      <c r="F273" s="68"/>
      <c r="G273" s="61">
        <v>0</v>
      </c>
      <c r="H273" s="61">
        <v>0</v>
      </c>
      <c r="I273" s="17" t="s">
        <v>749</v>
      </c>
      <c r="J273" s="42"/>
    </row>
    <row r="274" spans="1:10" ht="13" outlineLevel="1" x14ac:dyDescent="0.3">
      <c r="A274" s="31"/>
      <c r="B274" s="31" t="s">
        <v>381</v>
      </c>
      <c r="C274" s="86"/>
      <c r="D274" s="84"/>
      <c r="E274" s="85">
        <v>0</v>
      </c>
      <c r="F274" s="68">
        <f>E274/G274</f>
        <v>0</v>
      </c>
      <c r="G274" s="61">
        <v>21000</v>
      </c>
      <c r="H274" s="61">
        <v>25000</v>
      </c>
      <c r="I274" s="17" t="s">
        <v>381</v>
      </c>
      <c r="J274" s="42"/>
    </row>
    <row r="275" spans="1:10" ht="13" outlineLevel="1" x14ac:dyDescent="0.3">
      <c r="A275" s="31"/>
      <c r="B275" s="31" t="s">
        <v>383</v>
      </c>
      <c r="C275" s="86">
        <v>22650.99</v>
      </c>
      <c r="D275" s="84">
        <v>1300</v>
      </c>
      <c r="E275" s="85">
        <v>950</v>
      </c>
      <c r="F275" s="68">
        <f>E275/G275</f>
        <v>4.7500000000000001E-2</v>
      </c>
      <c r="G275" s="61">
        <v>20000</v>
      </c>
      <c r="H275" s="61">
        <v>20000</v>
      </c>
      <c r="I275" s="17" t="s">
        <v>383</v>
      </c>
      <c r="J275" s="42"/>
    </row>
    <row r="276" spans="1:10" ht="13" outlineLevel="1" x14ac:dyDescent="0.3">
      <c r="A276" s="31"/>
      <c r="B276" s="31" t="s">
        <v>385</v>
      </c>
      <c r="C276" s="86"/>
      <c r="D276" s="84"/>
      <c r="E276" s="85">
        <v>1500</v>
      </c>
      <c r="F276" s="68">
        <f>E276/G276</f>
        <v>6.6666666666666666E-2</v>
      </c>
      <c r="G276" s="61">
        <v>22500</v>
      </c>
      <c r="H276" s="61">
        <v>15000</v>
      </c>
      <c r="I276" s="17" t="s">
        <v>385</v>
      </c>
      <c r="J276" s="42"/>
    </row>
    <row r="277" spans="1:10" ht="13" outlineLevel="1" x14ac:dyDescent="0.3">
      <c r="A277" s="42"/>
      <c r="B277" s="31" t="s">
        <v>750</v>
      </c>
      <c r="C277" s="86"/>
      <c r="D277" s="84"/>
      <c r="E277" s="85">
        <v>0</v>
      </c>
      <c r="F277" s="68"/>
      <c r="G277" s="61"/>
      <c r="H277" s="61"/>
      <c r="I277" s="17" t="s">
        <v>751</v>
      </c>
      <c r="J277" s="42"/>
    </row>
    <row r="278" spans="1:10" s="6" customFormat="1" ht="13" x14ac:dyDescent="0.3">
      <c r="A278" s="63"/>
      <c r="B278" s="30" t="s">
        <v>752</v>
      </c>
      <c r="C278" s="86">
        <f>C279+C280+C281+C282+C283</f>
        <v>284753.34000000003</v>
      </c>
      <c r="D278" s="86">
        <f t="shared" ref="D278:E278" si="37">D279+D280+D281+D282+D283</f>
        <v>96553.15</v>
      </c>
      <c r="E278" s="85">
        <f t="shared" si="37"/>
        <v>180778.71</v>
      </c>
      <c r="F278" s="68">
        <f>E278/G278</f>
        <v>1.2051913999999999</v>
      </c>
      <c r="G278" s="61">
        <f>G279+G280+G281+G282+G283</f>
        <v>150000</v>
      </c>
      <c r="H278" s="61">
        <f>H279+H280+H281+H282+H283</f>
        <v>125000</v>
      </c>
      <c r="I278" s="13" t="s">
        <v>753</v>
      </c>
      <c r="J278" s="63"/>
    </row>
    <row r="279" spans="1:10" ht="11.5" customHeight="1" outlineLevel="1" x14ac:dyDescent="0.3">
      <c r="A279" s="42"/>
      <c r="B279" s="31" t="s">
        <v>754</v>
      </c>
      <c r="C279" s="86">
        <f>260646.64+8436</f>
        <v>269082.64</v>
      </c>
      <c r="D279" s="84">
        <f>79267.97+2282</f>
        <v>81549.97</v>
      </c>
      <c r="E279" s="85">
        <f>172760.83+8017.88</f>
        <v>180778.71</v>
      </c>
      <c r="F279" s="68">
        <f>E279/G279</f>
        <v>1.2051913999999999</v>
      </c>
      <c r="G279" s="61">
        <v>150000</v>
      </c>
      <c r="H279" s="61">
        <v>125000</v>
      </c>
      <c r="I279" s="17" t="s">
        <v>755</v>
      </c>
      <c r="J279" s="42"/>
    </row>
    <row r="280" spans="1:10" ht="13.4" hidden="1" customHeight="1" outlineLevel="1" x14ac:dyDescent="0.3">
      <c r="A280" s="42"/>
      <c r="B280" s="31" t="s">
        <v>756</v>
      </c>
      <c r="C280" s="86"/>
      <c r="D280" s="84"/>
      <c r="E280" s="85"/>
      <c r="F280" s="68" t="e">
        <f>E280/G280</f>
        <v>#DIV/0!</v>
      </c>
      <c r="G280" s="61"/>
      <c r="H280" s="61"/>
      <c r="I280" s="17"/>
      <c r="J280" s="42"/>
    </row>
    <row r="281" spans="1:10" ht="13.4" hidden="1" customHeight="1" outlineLevel="1" x14ac:dyDescent="0.3">
      <c r="A281" s="42"/>
      <c r="B281" s="31" t="s">
        <v>757</v>
      </c>
      <c r="C281" s="86"/>
      <c r="D281" s="84"/>
      <c r="E281" s="85"/>
      <c r="F281" s="68" t="e">
        <f>E281/G281</f>
        <v>#DIV/0!</v>
      </c>
      <c r="G281" s="61"/>
      <c r="H281" s="61"/>
      <c r="I281" s="17" t="s">
        <v>758</v>
      </c>
      <c r="J281" s="42"/>
    </row>
    <row r="282" spans="1:10" ht="13" outlineLevel="1" x14ac:dyDescent="0.3">
      <c r="A282" s="42"/>
      <c r="B282" s="60" t="s">
        <v>759</v>
      </c>
      <c r="C282" s="86">
        <v>15670.7</v>
      </c>
      <c r="D282" s="84">
        <v>15003.18</v>
      </c>
      <c r="E282" s="85">
        <v>0</v>
      </c>
      <c r="F282" s="68"/>
      <c r="G282" s="61">
        <v>0</v>
      </c>
      <c r="H282" s="61">
        <v>0</v>
      </c>
      <c r="I282" s="17" t="s">
        <v>760</v>
      </c>
      <c r="J282" s="42"/>
    </row>
    <row r="283" spans="1:10" ht="13.5" outlineLevel="1" thickBot="1" x14ac:dyDescent="0.35">
      <c r="A283" s="42"/>
      <c r="B283" s="31"/>
      <c r="C283" s="86"/>
      <c r="D283" s="84"/>
      <c r="E283" s="87"/>
      <c r="F283" s="68"/>
      <c r="G283" s="61"/>
      <c r="H283" s="61"/>
      <c r="I283" s="17"/>
      <c r="J283" s="42"/>
    </row>
    <row r="284" spans="1:10" ht="16" thickBot="1" x14ac:dyDescent="0.4">
      <c r="A284" s="43"/>
      <c r="B284" s="23" t="s">
        <v>761</v>
      </c>
      <c r="C284" s="92">
        <f>C278+C269+C255</f>
        <v>684913.86</v>
      </c>
      <c r="D284" s="91">
        <f>D278+D269+D255</f>
        <v>621617.69000000006</v>
      </c>
      <c r="E284" s="91">
        <f>E278+E269+E255</f>
        <v>511961.77</v>
      </c>
      <c r="F284" s="41">
        <f>E284/G284</f>
        <v>0.67585712211221127</v>
      </c>
      <c r="G284" s="49">
        <f>G278+G269+G255</f>
        <v>757500</v>
      </c>
      <c r="H284" s="49">
        <f>H278+H269+H255</f>
        <v>551500</v>
      </c>
      <c r="I284" s="24" t="s">
        <v>762</v>
      </c>
      <c r="J284" s="43"/>
    </row>
    <row r="285" spans="1:10" s="6" customFormat="1" ht="25.5" x14ac:dyDescent="0.3">
      <c r="A285" s="20" t="s">
        <v>763</v>
      </c>
      <c r="B285" s="12" t="s">
        <v>764</v>
      </c>
      <c r="C285" s="86">
        <v>0</v>
      </c>
      <c r="D285" s="84">
        <v>0</v>
      </c>
      <c r="E285" s="85">
        <v>0</v>
      </c>
      <c r="F285" s="68"/>
      <c r="G285" s="61">
        <v>0</v>
      </c>
      <c r="H285" s="61">
        <v>0</v>
      </c>
      <c r="I285" s="17" t="s">
        <v>765</v>
      </c>
      <c r="J285" s="20" t="s">
        <v>766</v>
      </c>
    </row>
    <row r="286" spans="1:10" s="6" customFormat="1" ht="13.5" customHeight="1" x14ac:dyDescent="0.3">
      <c r="A286" s="20" t="s">
        <v>767</v>
      </c>
      <c r="B286" s="12" t="s">
        <v>768</v>
      </c>
      <c r="C286" s="86">
        <v>975</v>
      </c>
      <c r="D286" s="84">
        <v>975</v>
      </c>
      <c r="E286" s="85">
        <v>900</v>
      </c>
      <c r="F286" s="68">
        <f>E286/G286</f>
        <v>1.8</v>
      </c>
      <c r="G286" s="61">
        <v>500</v>
      </c>
      <c r="H286" s="61">
        <v>500</v>
      </c>
      <c r="I286" s="17" t="s">
        <v>769</v>
      </c>
      <c r="J286" s="20" t="s">
        <v>770</v>
      </c>
    </row>
    <row r="287" spans="1:10" s="6" customFormat="1" ht="25.5" x14ac:dyDescent="0.3">
      <c r="A287" s="20" t="s">
        <v>771</v>
      </c>
      <c r="B287" s="25" t="s">
        <v>772</v>
      </c>
      <c r="C287" s="86">
        <v>3849.4</v>
      </c>
      <c r="D287" s="84">
        <f>4265.97</f>
        <v>4265.97</v>
      </c>
      <c r="E287" s="85">
        <v>3878.03</v>
      </c>
      <c r="F287" s="68">
        <f>E287/G287</f>
        <v>0.96950750000000008</v>
      </c>
      <c r="G287" s="61">
        <v>4000</v>
      </c>
      <c r="H287" s="61">
        <v>4000</v>
      </c>
      <c r="I287" s="17" t="s">
        <v>773</v>
      </c>
      <c r="J287" s="20" t="s">
        <v>774</v>
      </c>
    </row>
    <row r="288" spans="1:10" s="6" customFormat="1" ht="13" x14ac:dyDescent="0.3">
      <c r="A288" s="20"/>
      <c r="B288" s="12" t="s">
        <v>775</v>
      </c>
      <c r="C288" s="86">
        <f>C289+C290+C291+C292+C293</f>
        <v>953.24</v>
      </c>
      <c r="D288" s="86">
        <f t="shared" ref="D288:E288" si="38">D289+D290+D291+D292+D293</f>
        <v>49.41</v>
      </c>
      <c r="E288" s="85">
        <f t="shared" si="38"/>
        <v>273.27999999999997</v>
      </c>
      <c r="F288" s="68"/>
      <c r="G288" s="61">
        <f>G289+G290+G291+G292+G293</f>
        <v>0</v>
      </c>
      <c r="H288" s="61">
        <f>H289+H290+H291+H292+H293</f>
        <v>0</v>
      </c>
      <c r="I288" s="21" t="s">
        <v>776</v>
      </c>
      <c r="J288" s="20"/>
    </row>
    <row r="289" spans="1:10" s="6" customFormat="1" outlineLevel="1" x14ac:dyDescent="0.25">
      <c r="A289" s="20" t="s">
        <v>777</v>
      </c>
      <c r="B289" s="18" t="s">
        <v>778</v>
      </c>
      <c r="C289" s="86">
        <v>908.11</v>
      </c>
      <c r="D289" s="84">
        <v>47.11</v>
      </c>
      <c r="E289" s="85">
        <v>107.37</v>
      </c>
      <c r="F289" s="68"/>
      <c r="G289" s="61"/>
      <c r="H289" s="61"/>
      <c r="I289" s="17" t="s">
        <v>779</v>
      </c>
      <c r="J289" s="20" t="s">
        <v>780</v>
      </c>
    </row>
    <row r="290" spans="1:10" s="6" customFormat="1" outlineLevel="1" x14ac:dyDescent="0.25">
      <c r="A290" s="20" t="s">
        <v>781</v>
      </c>
      <c r="B290" s="18" t="s">
        <v>782</v>
      </c>
      <c r="C290" s="86">
        <v>0</v>
      </c>
      <c r="D290" s="84"/>
      <c r="E290" s="85">
        <v>159.41999999999999</v>
      </c>
      <c r="F290" s="68"/>
      <c r="G290" s="61">
        <v>0</v>
      </c>
      <c r="H290" s="61"/>
      <c r="I290" s="17" t="s">
        <v>783</v>
      </c>
      <c r="J290" s="20" t="s">
        <v>784</v>
      </c>
    </row>
    <row r="291" spans="1:10" s="6" customFormat="1" outlineLevel="1" x14ac:dyDescent="0.25">
      <c r="A291" s="20"/>
      <c r="B291" s="18" t="s">
        <v>785</v>
      </c>
      <c r="C291" s="86">
        <v>0</v>
      </c>
      <c r="D291" s="84"/>
      <c r="E291" s="87"/>
      <c r="F291" s="68"/>
      <c r="G291" s="61"/>
      <c r="H291" s="61"/>
      <c r="I291" s="17" t="s">
        <v>786</v>
      </c>
      <c r="J291" s="20"/>
    </row>
    <row r="292" spans="1:10" s="6" customFormat="1" outlineLevel="1" x14ac:dyDescent="0.25">
      <c r="A292" s="20"/>
      <c r="B292" s="18" t="s">
        <v>787</v>
      </c>
      <c r="C292" s="86"/>
      <c r="D292" s="84"/>
      <c r="E292" s="85"/>
      <c r="F292" s="68"/>
      <c r="G292" s="61"/>
      <c r="H292" s="61"/>
      <c r="I292" s="17" t="s">
        <v>788</v>
      </c>
      <c r="J292" s="20"/>
    </row>
    <row r="293" spans="1:10" s="6" customFormat="1" outlineLevel="1" x14ac:dyDescent="0.25">
      <c r="A293" s="20"/>
      <c r="B293" s="18" t="s">
        <v>789</v>
      </c>
      <c r="C293" s="86">
        <v>45.13</v>
      </c>
      <c r="D293" s="84">
        <v>2.2999999999999998</v>
      </c>
      <c r="E293" s="85">
        <v>6.49</v>
      </c>
      <c r="F293" s="68"/>
      <c r="G293" s="61">
        <v>0</v>
      </c>
      <c r="H293" s="61"/>
      <c r="I293" s="17" t="s">
        <v>790</v>
      </c>
      <c r="J293" s="20"/>
    </row>
    <row r="294" spans="1:10" s="6" customFormat="1" ht="13" x14ac:dyDescent="0.3">
      <c r="A294" s="20"/>
      <c r="B294" s="30" t="s">
        <v>791</v>
      </c>
      <c r="C294" s="86">
        <f>SUM(C295:C301)</f>
        <v>336398.62</v>
      </c>
      <c r="D294" s="86">
        <f>SUM(D295:D301)</f>
        <v>319902.00000000006</v>
      </c>
      <c r="E294" s="85">
        <f t="shared" ref="E294" si="39">SUM(E295:E301)</f>
        <v>234190.19999999995</v>
      </c>
      <c r="F294" s="68">
        <f t="shared" ref="F294:F302" si="40">E294/G294</f>
        <v>0.77528197013284939</v>
      </c>
      <c r="G294" s="61">
        <f>SUM(G295:G301)</f>
        <v>302071</v>
      </c>
      <c r="H294" s="61">
        <f>SUM(H295:H301)</f>
        <v>272000</v>
      </c>
      <c r="I294" s="21" t="s">
        <v>792</v>
      </c>
      <c r="J294" s="20"/>
    </row>
    <row r="295" spans="1:10" s="6" customFormat="1" ht="25" outlineLevel="1" x14ac:dyDescent="0.25">
      <c r="A295" s="20" t="s">
        <v>793</v>
      </c>
      <c r="B295" s="31" t="s">
        <v>794</v>
      </c>
      <c r="C295" s="86">
        <f>137743.37+117+21.32+387.56</f>
        <v>138269.25</v>
      </c>
      <c r="D295" s="84">
        <v>124918.57</v>
      </c>
      <c r="E295" s="85">
        <f>83820.34</f>
        <v>83820.34</v>
      </c>
      <c r="F295" s="68">
        <f t="shared" si="40"/>
        <v>0.59871671428571427</v>
      </c>
      <c r="G295" s="61">
        <v>140000</v>
      </c>
      <c r="H295" s="61">
        <v>140000</v>
      </c>
      <c r="I295" s="17" t="s">
        <v>795</v>
      </c>
      <c r="J295" s="20" t="s">
        <v>796</v>
      </c>
    </row>
    <row r="296" spans="1:10" s="6" customFormat="1" outlineLevel="1" x14ac:dyDescent="0.25">
      <c r="A296" s="20" t="s">
        <v>797</v>
      </c>
      <c r="B296" s="31" t="s">
        <v>798</v>
      </c>
      <c r="C296" s="86">
        <v>40505.980000000003</v>
      </c>
      <c r="D296" s="84">
        <v>37280.69</v>
      </c>
      <c r="E296" s="85">
        <v>43212.12</v>
      </c>
      <c r="F296" s="68">
        <f t="shared" si="40"/>
        <v>1.2003366666666668</v>
      </c>
      <c r="G296" s="61">
        <v>36000</v>
      </c>
      <c r="H296" s="61">
        <v>40000</v>
      </c>
      <c r="I296" s="17" t="s">
        <v>799</v>
      </c>
      <c r="J296" s="20" t="s">
        <v>800</v>
      </c>
    </row>
    <row r="297" spans="1:10" s="6" customFormat="1" outlineLevel="1" x14ac:dyDescent="0.25">
      <c r="A297" s="20"/>
      <c r="B297" s="31" t="s">
        <v>801</v>
      </c>
      <c r="C297" s="86">
        <v>3721.68</v>
      </c>
      <c r="D297" s="84">
        <v>4484.4799999999996</v>
      </c>
      <c r="E297" s="85">
        <v>5232.96</v>
      </c>
      <c r="F297" s="68">
        <f t="shared" si="40"/>
        <v>1.3082400000000001</v>
      </c>
      <c r="G297" s="61">
        <v>4000</v>
      </c>
      <c r="H297" s="61">
        <v>4000</v>
      </c>
      <c r="I297" s="17" t="s">
        <v>802</v>
      </c>
      <c r="J297" s="20"/>
    </row>
    <row r="298" spans="1:10" s="6" customFormat="1" ht="25" outlineLevel="1" x14ac:dyDescent="0.25">
      <c r="A298" s="20" t="s">
        <v>803</v>
      </c>
      <c r="B298" s="31" t="s">
        <v>804</v>
      </c>
      <c r="C298" s="86">
        <v>7027.23</v>
      </c>
      <c r="D298" s="84">
        <v>3281.17</v>
      </c>
      <c r="E298" s="85">
        <f>2610.86+101.88</f>
        <v>2712.7400000000002</v>
      </c>
      <c r="F298" s="68">
        <f t="shared" si="40"/>
        <v>0.90424666666666675</v>
      </c>
      <c r="G298" s="61">
        <v>3000</v>
      </c>
      <c r="H298" s="61">
        <v>4000</v>
      </c>
      <c r="I298" s="17" t="s">
        <v>805</v>
      </c>
      <c r="J298" s="20" t="s">
        <v>806</v>
      </c>
    </row>
    <row r="299" spans="1:10" s="6" customFormat="1" ht="50" outlineLevel="1" x14ac:dyDescent="0.25">
      <c r="A299" s="20" t="s">
        <v>807</v>
      </c>
      <c r="B299" s="31" t="s">
        <v>808</v>
      </c>
      <c r="C299" s="86">
        <v>29977.03</v>
      </c>
      <c r="D299" s="84">
        <v>35784.199999999997</v>
      </c>
      <c r="E299" s="85">
        <v>33183.32</v>
      </c>
      <c r="F299" s="68">
        <f t="shared" si="40"/>
        <v>0.66366639999999999</v>
      </c>
      <c r="G299" s="61">
        <v>50000</v>
      </c>
      <c r="H299" s="61">
        <v>40000</v>
      </c>
      <c r="I299" s="17" t="s">
        <v>809</v>
      </c>
      <c r="J299" s="20" t="s">
        <v>810</v>
      </c>
    </row>
    <row r="300" spans="1:10" s="6" customFormat="1" ht="25" outlineLevel="1" x14ac:dyDescent="0.25">
      <c r="A300" s="20" t="s">
        <v>811</v>
      </c>
      <c r="B300" s="31" t="s">
        <v>812</v>
      </c>
      <c r="C300" s="86">
        <v>9145.61</v>
      </c>
      <c r="D300" s="84">
        <v>10772.26</v>
      </c>
      <c r="E300" s="85">
        <v>14354.8</v>
      </c>
      <c r="F300" s="68">
        <f t="shared" si="40"/>
        <v>1.1962333333333333</v>
      </c>
      <c r="G300" s="61">
        <v>12000</v>
      </c>
      <c r="H300" s="61">
        <v>12000</v>
      </c>
      <c r="I300" s="17" t="s">
        <v>813</v>
      </c>
      <c r="J300" s="20" t="s">
        <v>814</v>
      </c>
    </row>
    <row r="301" spans="1:10" s="6" customFormat="1" outlineLevel="1" x14ac:dyDescent="0.25">
      <c r="A301" s="20"/>
      <c r="B301" s="31" t="s">
        <v>815</v>
      </c>
      <c r="C301" s="86">
        <f>61743.74+46008.1</f>
        <v>107751.84</v>
      </c>
      <c r="D301" s="84">
        <f>55580.43+47630.92+169.28</f>
        <v>103380.63</v>
      </c>
      <c r="E301" s="85">
        <v>51673.919999999998</v>
      </c>
      <c r="F301" s="68">
        <f t="shared" si="40"/>
        <v>0.90543218096756672</v>
      </c>
      <c r="G301" s="61">
        <f>20800+1920+768+15000+18583</f>
        <v>57071</v>
      </c>
      <c r="H301" s="61">
        <v>32000</v>
      </c>
      <c r="I301" s="17" t="s">
        <v>816</v>
      </c>
      <c r="J301" s="20"/>
    </row>
    <row r="302" spans="1:10" s="6" customFormat="1" ht="13" x14ac:dyDescent="0.3">
      <c r="A302" s="20"/>
      <c r="B302" s="30" t="s">
        <v>817</v>
      </c>
      <c r="C302" s="86">
        <f>SUM(C303:C306)</f>
        <v>121418.8</v>
      </c>
      <c r="D302" s="86">
        <f>SUM(D303:D306)</f>
        <v>134664.4</v>
      </c>
      <c r="E302" s="85">
        <f t="shared" ref="E302" si="41">SUM(E303:E306)</f>
        <v>126441.34</v>
      </c>
      <c r="F302" s="68">
        <f t="shared" si="40"/>
        <v>1.0364044262295082</v>
      </c>
      <c r="G302" s="61">
        <f>SUM(G303:G306)</f>
        <v>122000</v>
      </c>
      <c r="H302" s="61">
        <f>SUM(H303:H306)</f>
        <v>122000</v>
      </c>
      <c r="I302" s="21" t="s">
        <v>818</v>
      </c>
      <c r="J302" s="20"/>
    </row>
    <row r="303" spans="1:10" s="6" customFormat="1" ht="25" outlineLevel="1" x14ac:dyDescent="0.25">
      <c r="A303" s="20" t="s">
        <v>819</v>
      </c>
      <c r="B303" s="31" t="s">
        <v>820</v>
      </c>
      <c r="C303" s="86">
        <v>0</v>
      </c>
      <c r="D303" s="84">
        <v>0</v>
      </c>
      <c r="E303" s="85">
        <v>0</v>
      </c>
      <c r="F303" s="68"/>
      <c r="G303" s="61">
        <v>0</v>
      </c>
      <c r="H303" s="61">
        <v>0</v>
      </c>
      <c r="I303" s="17" t="s">
        <v>821</v>
      </c>
      <c r="J303" s="20" t="s">
        <v>822</v>
      </c>
    </row>
    <row r="304" spans="1:10" s="6" customFormat="1" ht="25" outlineLevel="1" x14ac:dyDescent="0.25">
      <c r="A304" s="20" t="s">
        <v>823</v>
      </c>
      <c r="B304" s="31" t="s">
        <v>824</v>
      </c>
      <c r="C304" s="86">
        <v>0</v>
      </c>
      <c r="D304" s="84"/>
      <c r="E304" s="85">
        <v>0</v>
      </c>
      <c r="F304" s="68"/>
      <c r="G304" s="61">
        <v>0</v>
      </c>
      <c r="H304" s="61">
        <v>0</v>
      </c>
      <c r="I304" s="17" t="s">
        <v>825</v>
      </c>
      <c r="J304" s="20" t="s">
        <v>826</v>
      </c>
    </row>
    <row r="305" spans="1:10" s="6" customFormat="1" ht="25" outlineLevel="1" x14ac:dyDescent="0.25">
      <c r="A305" s="20" t="s">
        <v>823</v>
      </c>
      <c r="B305" s="31" t="s">
        <v>827</v>
      </c>
      <c r="C305" s="86">
        <v>0</v>
      </c>
      <c r="D305" s="84">
        <v>107.04</v>
      </c>
      <c r="E305" s="85">
        <v>214.08</v>
      </c>
      <c r="F305" s="68"/>
      <c r="G305" s="61">
        <v>0</v>
      </c>
      <c r="H305" s="61">
        <v>0</v>
      </c>
      <c r="I305" s="17" t="s">
        <v>828</v>
      </c>
      <c r="J305" s="20" t="s">
        <v>826</v>
      </c>
    </row>
    <row r="306" spans="1:10" s="8" customFormat="1" ht="26.25" customHeight="1" outlineLevel="1" x14ac:dyDescent="0.3">
      <c r="A306" s="20" t="s">
        <v>829</v>
      </c>
      <c r="B306" s="31" t="s">
        <v>830</v>
      </c>
      <c r="C306" s="86">
        <v>121418.8</v>
      </c>
      <c r="D306" s="84">
        <v>134557.35999999999</v>
      </c>
      <c r="E306" s="85">
        <v>126227.26</v>
      </c>
      <c r="F306" s="68">
        <f t="shared" ref="F306:F311" si="42">E306/G306</f>
        <v>1.0346496721311476</v>
      </c>
      <c r="G306" s="61">
        <v>122000</v>
      </c>
      <c r="H306" s="61">
        <v>122000</v>
      </c>
      <c r="I306" s="17" t="s">
        <v>831</v>
      </c>
      <c r="J306" s="20" t="s">
        <v>832</v>
      </c>
    </row>
    <row r="307" spans="1:10" s="8" customFormat="1" ht="16.5" customHeight="1" x14ac:dyDescent="0.3">
      <c r="A307" s="20" t="s">
        <v>833</v>
      </c>
      <c r="B307" s="31" t="s">
        <v>834</v>
      </c>
      <c r="C307" s="89"/>
      <c r="D307" s="93"/>
      <c r="E307" s="85">
        <v>0</v>
      </c>
      <c r="F307" s="68">
        <f t="shared" si="42"/>
        <v>0</v>
      </c>
      <c r="G307" s="61">
        <v>100000</v>
      </c>
      <c r="H307" s="61"/>
      <c r="I307" s="21" t="s">
        <v>835</v>
      </c>
      <c r="J307" s="20" t="s">
        <v>836</v>
      </c>
    </row>
    <row r="308" spans="1:10" s="6" customFormat="1" ht="26" thickBot="1" x14ac:dyDescent="0.35">
      <c r="A308" s="20" t="s">
        <v>837</v>
      </c>
      <c r="B308" s="30" t="s">
        <v>838</v>
      </c>
      <c r="C308" s="86">
        <v>153110.92000000001</v>
      </c>
      <c r="D308" s="84">
        <v>9179.99</v>
      </c>
      <c r="E308" s="85">
        <f>170681.39+551876.17</f>
        <v>722557.56</v>
      </c>
      <c r="F308" s="68">
        <f t="shared" si="42"/>
        <v>72.255756000000005</v>
      </c>
      <c r="G308" s="61">
        <v>10000</v>
      </c>
      <c r="H308" s="61">
        <v>10000</v>
      </c>
      <c r="I308" s="21" t="s">
        <v>839</v>
      </c>
      <c r="J308" s="20" t="s">
        <v>840</v>
      </c>
    </row>
    <row r="309" spans="1:10" s="4" customFormat="1" ht="16" thickBot="1" x14ac:dyDescent="0.4">
      <c r="A309" s="24"/>
      <c r="B309" s="23" t="s">
        <v>841</v>
      </c>
      <c r="C309" s="92">
        <f>C308+C307+C302+C294+C288+C287+C286+C285</f>
        <v>616705.9800000001</v>
      </c>
      <c r="D309" s="91">
        <f>D308+D307+D302+D294+D288+D287+D286+D285</f>
        <v>469036.76999999996</v>
      </c>
      <c r="E309" s="91">
        <f>E308+E307+E302+E294+E288+E287+E286+E285</f>
        <v>1088240.4100000001</v>
      </c>
      <c r="F309" s="41">
        <f t="shared" si="42"/>
        <v>2.0206071437192126</v>
      </c>
      <c r="G309" s="49">
        <f>G308+G307+G302+G294+G288+G287+G286+G285</f>
        <v>538571</v>
      </c>
      <c r="H309" s="49">
        <f>H308+H307+H302+H294+H288+H287+H286+H285</f>
        <v>408500</v>
      </c>
      <c r="I309" s="24" t="s">
        <v>842</v>
      </c>
      <c r="J309" s="24"/>
    </row>
    <row r="310" spans="1:10" s="3" customFormat="1" ht="37.5" customHeight="1" thickBot="1" x14ac:dyDescent="0.4">
      <c r="A310" s="35"/>
      <c r="B310" s="34" t="s">
        <v>655</v>
      </c>
      <c r="C310" s="97">
        <f>C230</f>
        <v>4599612.0419999994</v>
      </c>
      <c r="D310" s="98">
        <f>D230</f>
        <v>4404668.6899999995</v>
      </c>
      <c r="E310" s="98">
        <f>E230</f>
        <v>4346762.1099999994</v>
      </c>
      <c r="F310" s="45">
        <f t="shared" si="42"/>
        <v>0.96553538835327768</v>
      </c>
      <c r="G310" s="50">
        <f>G230</f>
        <v>4501919</v>
      </c>
      <c r="H310" s="50">
        <f>H230</f>
        <v>4426984</v>
      </c>
      <c r="I310" s="35" t="s">
        <v>656</v>
      </c>
      <c r="J310" s="35"/>
    </row>
    <row r="311" spans="1:10" s="5" customFormat="1" ht="24.75" customHeight="1" thickTop="1" thickBot="1" x14ac:dyDescent="0.4">
      <c r="A311" s="51"/>
      <c r="B311" s="52" t="s">
        <v>843</v>
      </c>
      <c r="C311" s="99">
        <f>C309+C284+C254</f>
        <v>5214452.4899999993</v>
      </c>
      <c r="D311" s="100">
        <f>D309+D284+D254</f>
        <v>3892974.2399999998</v>
      </c>
      <c r="E311" s="100">
        <f>E309+E284+E254</f>
        <v>4853062.25</v>
      </c>
      <c r="F311" s="45">
        <f t="shared" si="42"/>
        <v>1.0698349327377195</v>
      </c>
      <c r="G311" s="53">
        <f>G309+G284+G254</f>
        <v>4536272</v>
      </c>
      <c r="H311" s="53">
        <f>H309+H284+H254</f>
        <v>4467935</v>
      </c>
      <c r="I311" s="37" t="s">
        <v>844</v>
      </c>
      <c r="J311" s="37"/>
    </row>
    <row r="312" spans="1:10" ht="21.75" customHeight="1" thickBot="1" x14ac:dyDescent="0.45">
      <c r="A312" s="39"/>
      <c r="B312" s="38" t="s">
        <v>845</v>
      </c>
      <c r="C312" s="101">
        <f>C311-C230</f>
        <v>614840.44799999986</v>
      </c>
      <c r="D312" s="101">
        <f>D311-D230</f>
        <v>-511694.44999999972</v>
      </c>
      <c r="E312" s="101">
        <f>E311-E230</f>
        <v>506300.1400000006</v>
      </c>
      <c r="F312" s="55"/>
      <c r="G312" s="69">
        <f>G311-G230</f>
        <v>34353</v>
      </c>
      <c r="H312" s="69">
        <f>H311-H230</f>
        <v>40951</v>
      </c>
      <c r="I312" s="39" t="s">
        <v>846</v>
      </c>
      <c r="J312" s="39"/>
    </row>
    <row r="313" spans="1:10" x14ac:dyDescent="0.25">
      <c r="C313" s="102"/>
      <c r="D313" s="102"/>
      <c r="E313" s="102"/>
    </row>
    <row r="315" spans="1:10" ht="18" x14ac:dyDescent="0.4">
      <c r="G315" s="54"/>
      <c r="H315" s="54"/>
      <c r="I315" s="54"/>
    </row>
    <row r="318" spans="1:10" x14ac:dyDescent="0.25">
      <c r="D318" s="70"/>
      <c r="E318" s="70"/>
    </row>
  </sheetData>
  <phoneticPr fontId="30" type="noConversion"/>
  <pageMargins left="0.35433070866141736" right="0.23622047244094491" top="0.19685039370078741" bottom="0.15748031496062992" header="0.11811023622047245" footer="0.23622047244094491"/>
  <pageSetup paperSize="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5"/>
  <sheetViews>
    <sheetView topLeftCell="A19" workbookViewId="0">
      <selection activeCell="D75" sqref="D75"/>
    </sheetView>
  </sheetViews>
  <sheetFormatPr defaultColWidth="10.81640625" defaultRowHeight="12.5" x14ac:dyDescent="0.25"/>
  <cols>
    <col min="1" max="1" width="32.81640625" bestFit="1" customWidth="1"/>
    <col min="2" max="2" width="26" customWidth="1"/>
    <col min="3" max="3" width="30.54296875" customWidth="1"/>
    <col min="4" max="4" width="35.81640625" bestFit="1" customWidth="1"/>
  </cols>
  <sheetData>
    <row r="1" spans="1:4" ht="18.5" thickBot="1" x14ac:dyDescent="0.45">
      <c r="A1" s="74"/>
      <c r="B1" s="74" t="s">
        <v>865</v>
      </c>
      <c r="C1" s="74"/>
      <c r="D1" s="74"/>
    </row>
    <row r="2" spans="1:4" ht="13" thickBot="1" x14ac:dyDescent="0.3">
      <c r="A2" s="75" t="s">
        <v>847</v>
      </c>
      <c r="B2" s="75" t="s">
        <v>848</v>
      </c>
      <c r="C2" s="75" t="s">
        <v>849</v>
      </c>
      <c r="D2" s="75" t="s">
        <v>850</v>
      </c>
    </row>
    <row r="3" spans="1:4" ht="13" thickBot="1" x14ac:dyDescent="0.3">
      <c r="A3" s="76">
        <f>'Comptes 2021'!E77</f>
        <v>1392357.81</v>
      </c>
      <c r="B3" s="76">
        <f>'Comptes 2021'!E144</f>
        <v>1905797.2</v>
      </c>
      <c r="C3" s="76">
        <f>'Comptes 2021'!E159</f>
        <v>371205.96000000008</v>
      </c>
      <c r="D3" s="76">
        <f>'Comptes 2021'!E229</f>
        <v>677401.1399999999</v>
      </c>
    </row>
    <row r="33" spans="1:7" ht="18" x14ac:dyDescent="0.4">
      <c r="B33" s="74" t="s">
        <v>866</v>
      </c>
    </row>
    <row r="34" spans="1:7" ht="13" thickBot="1" x14ac:dyDescent="0.3"/>
    <row r="35" spans="1:7" ht="13" thickBot="1" x14ac:dyDescent="0.3">
      <c r="A35" s="75" t="s">
        <v>851</v>
      </c>
      <c r="B35" s="75" t="s">
        <v>852</v>
      </c>
      <c r="C35" s="75" t="s">
        <v>853</v>
      </c>
      <c r="D35" s="75" t="s">
        <v>854</v>
      </c>
      <c r="E35" s="75" t="s">
        <v>855</v>
      </c>
      <c r="F35" s="75" t="s">
        <v>856</v>
      </c>
    </row>
    <row r="36" spans="1:7" ht="13" thickBot="1" x14ac:dyDescent="0.3">
      <c r="A36" s="76">
        <f>'Comptes 2021'!E2</f>
        <v>694704.78</v>
      </c>
      <c r="B36" s="76">
        <f>'Comptes 2021'!E59</f>
        <v>116594.28</v>
      </c>
      <c r="C36" s="76">
        <f>'Comptes 2021'!E72</f>
        <v>322087.88</v>
      </c>
      <c r="D36" s="76">
        <f>'Comptes 2021'!E44</f>
        <v>335.18</v>
      </c>
      <c r="E36" s="76">
        <f>'Comptes 2021'!E76</f>
        <v>238720.81</v>
      </c>
      <c r="F36" s="76">
        <f>'Comptes  2021Graphiques '!A3-'Comptes  2021Graphiques '!A36-'Comptes  2021Graphiques '!B36-'Comptes  2021Graphiques '!C36-'Comptes  2021Graphiques '!D36-'Comptes  2021Graphiques '!E36</f>
        <v>19914.880000000005</v>
      </c>
      <c r="G36" s="77"/>
    </row>
    <row r="63" spans="1:3" ht="18.5" thickBot="1" x14ac:dyDescent="0.45">
      <c r="B63" s="74" t="s">
        <v>867</v>
      </c>
    </row>
    <row r="64" spans="1:3" ht="13" thickBot="1" x14ac:dyDescent="0.3">
      <c r="A64" s="75" t="s">
        <v>857</v>
      </c>
      <c r="B64" s="75" t="s">
        <v>858</v>
      </c>
      <c r="C64" s="75" t="s">
        <v>856</v>
      </c>
    </row>
    <row r="65" spans="1:3" ht="13" thickBot="1" x14ac:dyDescent="0.3">
      <c r="A65" s="76">
        <f>'Comptes 2021'!E254</f>
        <v>3252860.0700000003</v>
      </c>
      <c r="B65" s="76">
        <f>'Comptes 2021'!E284</f>
        <v>511961.77</v>
      </c>
      <c r="C65" s="76">
        <f>'Comptes 2021'!E309</f>
        <v>1088240.4100000001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8023A1196CA141A2FD86420352504F" ma:contentTypeVersion="6" ma:contentTypeDescription="Create a new document." ma:contentTypeScope="" ma:versionID="ab0fbf71ececa13b3ce3dc94866fcbee">
  <xsd:schema xmlns:xsd="http://www.w3.org/2001/XMLSchema" xmlns:xs="http://www.w3.org/2001/XMLSchema" xmlns:p="http://schemas.microsoft.com/office/2006/metadata/properties" xmlns:ns2="67cd9146-621f-425f-b70e-5b523e7cea09" xmlns:ns3="7dbc5c01-d74a-48cd-bd2a-827bafa1be93" targetNamespace="http://schemas.microsoft.com/office/2006/metadata/properties" ma:root="true" ma:fieldsID="3eef41a35a509f77a2803caf04b4da2f" ns2:_="" ns3:_="">
    <xsd:import namespace="67cd9146-621f-425f-b70e-5b523e7cea09"/>
    <xsd:import namespace="7dbc5c01-d74a-48cd-bd2a-827bafa1be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cd9146-621f-425f-b70e-5b523e7cea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bc5c01-d74a-48cd-bd2a-827bafa1be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185810-4D59-4FBF-A99F-C5FE92676A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cd9146-621f-425f-b70e-5b523e7cea09"/>
    <ds:schemaRef ds:uri="7dbc5c01-d74a-48cd-bd2a-827bafa1b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C0F408-03C4-404A-9311-5A2DD82ACEA9}">
  <ds:schemaRefs>
    <ds:schemaRef ds:uri="http://schemas.microsoft.com/sharepoint/v3/contenttype/forms"/>
  </ds:schemaRefs>
</ds:datastoreItem>
</file>

<file path=customXml/itemProps3.xml><?xml version="1.0" encoding="utf-8"?>
<ds:datastoreItem xmlns:ds="http://schemas.openxmlformats.org/officeDocument/2006/customXml" ds:itemID="{4CE18C70-1F2F-404E-803C-2863516BCC30}">
  <ds:schemaRefs>
    <ds:schemaRef ds:uri="http://schemas.microsoft.com/office/infopath/2007/PartnerControls"/>
    <ds:schemaRef ds:uri="http://purl.org/dc/elements/1.1/"/>
    <ds:schemaRef ds:uri="http://schemas.microsoft.com/office/2006/metadata/properties"/>
    <ds:schemaRef ds:uri="7dbc5c01-d74a-48cd-bd2a-827bafa1be93"/>
    <ds:schemaRef ds:uri="67cd9146-621f-425f-b70e-5b523e7cea09"/>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Comptes 2021</vt:lpstr>
      <vt:lpstr>Comptes  2021Graphiques </vt:lpstr>
      <vt:lpstr>'Comptes 2021'!Print_Area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Shyirambere</dc:creator>
  <cp:keywords/>
  <dc:description/>
  <cp:lastModifiedBy>Stefan - Muco</cp:lastModifiedBy>
  <cp:revision/>
  <cp:lastPrinted>2022-04-07T16:30:13Z</cp:lastPrinted>
  <dcterms:created xsi:type="dcterms:W3CDTF">2008-09-05T09:35:22Z</dcterms:created>
  <dcterms:modified xsi:type="dcterms:W3CDTF">2022-04-21T08:06:36Z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0x010100398023A1196CA141A2FD86420352504F</vt:lpwstr>
  </property>
</Properties>
</file>